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2023\02_március 31\Előterjesztések\"/>
    </mc:Choice>
  </mc:AlternateContent>
  <xr:revisionPtr revIDLastSave="0" documentId="13_ncr:1_{A9A34C7C-91CC-4786-9FF2-5C6B6EE93917}" xr6:coauthVersionLast="47" xr6:coauthVersionMax="47" xr10:uidLastSave="{00000000-0000-0000-0000-000000000000}"/>
  <bookViews>
    <workbookView xWindow="-108" yWindow="-108" windowWidth="23256" windowHeight="12456" tabRatio="841" activeTab="6" xr2:uid="{00000000-000D-0000-FFFF-FFFF00000000}"/>
  </bookViews>
  <sheets>
    <sheet name="1." sheetId="73" r:id="rId1"/>
    <sheet name="2." sheetId="74" r:id="rId2"/>
    <sheet name="3." sheetId="75" r:id="rId3"/>
    <sheet name="4." sheetId="76" r:id="rId4"/>
    <sheet name="5." sheetId="77" r:id="rId5"/>
    <sheet name="6." sheetId="78" r:id="rId6"/>
    <sheet name="7." sheetId="81" r:id="rId7"/>
  </sheets>
  <externalReferences>
    <externalReference r:id="rId8"/>
  </externalReferences>
  <definedNames>
    <definedName name="_xlnm.Print_Titles" localSheetId="0">'1.'!$1:$11</definedName>
    <definedName name="_xlnm.Print_Titles" localSheetId="1">'2.'!$1:$11</definedName>
    <definedName name="_xlnm.Print_Titles" localSheetId="2">'3.'!$1:$11</definedName>
    <definedName name="_xlnm.Print_Area" localSheetId="0">'1.'!$A$1:$P$71</definedName>
    <definedName name="_xlnm.Print_Area" localSheetId="1">'2.'!$A$1:$P$71</definedName>
    <definedName name="_xlnm.Print_Area" localSheetId="2">'3.'!$A$1:$P$71</definedName>
    <definedName name="_xlnm.Print_Area" localSheetId="3">'4.'!$A$1:$L$42</definedName>
    <definedName name="_xlnm.Print_Area" localSheetId="4">'5.'!$A$1:$L$90</definedName>
    <definedName name="_xlnm.Print_Area" localSheetId="5">'6.'!$A$1:$K$89</definedName>
  </definedNames>
  <calcPr calcId="191029"/>
</workbook>
</file>

<file path=xl/calcChain.xml><?xml version="1.0" encoding="utf-8"?>
<calcChain xmlns="http://schemas.openxmlformats.org/spreadsheetml/2006/main">
  <c r="E29" i="81" l="1"/>
  <c r="H34" i="78" l="1"/>
  <c r="G34" i="78"/>
  <c r="F49" i="78"/>
  <c r="G79" i="78"/>
  <c r="F79" i="78"/>
  <c r="H40" i="78"/>
  <c r="G40" i="78"/>
  <c r="F40" i="78"/>
  <c r="F41" i="77"/>
  <c r="I40" i="76"/>
  <c r="E40" i="76"/>
  <c r="G61" i="78"/>
  <c r="F61" i="78"/>
  <c r="G58" i="78"/>
  <c r="F58" i="78"/>
  <c r="G43" i="78"/>
  <c r="F43" i="78"/>
  <c r="H42" i="78"/>
  <c r="G37" i="78"/>
  <c r="F37" i="78"/>
  <c r="H36" i="78"/>
  <c r="H33" i="78"/>
  <c r="F33" i="78"/>
  <c r="H52" i="77"/>
  <c r="F52" i="77"/>
  <c r="F26" i="76"/>
  <c r="E26" i="76"/>
  <c r="J48" i="78"/>
  <c r="J25" i="76"/>
  <c r="E25" i="76"/>
  <c r="H21" i="78"/>
  <c r="F21" i="78"/>
  <c r="F73" i="78" l="1"/>
  <c r="H72" i="78"/>
  <c r="G25" i="77"/>
  <c r="E17" i="76"/>
  <c r="F20" i="81"/>
  <c r="F17" i="81"/>
  <c r="G37" i="77"/>
  <c r="I84" i="78" l="1"/>
  <c r="H84" i="78"/>
  <c r="F84" i="78"/>
  <c r="I81" i="78"/>
  <c r="H81" i="78"/>
  <c r="F81" i="78"/>
  <c r="I78" i="78"/>
  <c r="H78" i="78"/>
  <c r="F78" i="78"/>
  <c r="I75" i="78"/>
  <c r="H75" i="78"/>
  <c r="F75" i="78"/>
  <c r="I72" i="78"/>
  <c r="F72" i="78"/>
  <c r="H69" i="78"/>
  <c r="F69" i="78"/>
  <c r="H66" i="78"/>
  <c r="F66" i="78"/>
  <c r="I63" i="78"/>
  <c r="H63" i="78"/>
  <c r="F63" i="78"/>
  <c r="H48" i="78"/>
  <c r="G28" i="77"/>
  <c r="E18" i="76"/>
  <c r="J27" i="78"/>
  <c r="H27" i="78"/>
  <c r="G27" i="78"/>
  <c r="F27" i="78"/>
  <c r="I18" i="76"/>
  <c r="J18" i="76"/>
  <c r="H45" i="78"/>
  <c r="F45" i="78"/>
  <c r="H12" i="78"/>
  <c r="G12" i="78"/>
  <c r="F12" i="78"/>
  <c r="G13" i="77"/>
  <c r="I13" i="76"/>
  <c r="E13" i="76"/>
  <c r="I21" i="76"/>
  <c r="E21" i="76"/>
  <c r="H30" i="78"/>
  <c r="I19" i="76"/>
  <c r="E19" i="76"/>
  <c r="G31" i="77"/>
  <c r="G19" i="77"/>
  <c r="E15" i="76"/>
  <c r="F61" i="77"/>
  <c r="E29" i="76"/>
  <c r="G56" i="74" l="1"/>
  <c r="G44" i="73"/>
  <c r="F58" i="77" l="1"/>
  <c r="E28" i="76"/>
  <c r="F40" i="77"/>
  <c r="E22" i="76"/>
  <c r="G16" i="77"/>
  <c r="E14" i="76"/>
  <c r="H54" i="78"/>
  <c r="H51" i="78"/>
  <c r="G23" i="73" l="1"/>
  <c r="G21" i="73"/>
  <c r="O30" i="74" l="1"/>
  <c r="G27" i="73"/>
  <c r="G15" i="73"/>
  <c r="L41" i="76" l="1"/>
  <c r="J41" i="76"/>
  <c r="I41" i="76"/>
  <c r="G41" i="76"/>
  <c r="F41" i="76"/>
  <c r="E41" i="76"/>
  <c r="K40" i="76"/>
  <c r="K41" i="76" s="1"/>
  <c r="H40" i="76"/>
  <c r="H41" i="76" s="1"/>
  <c r="J38" i="76"/>
  <c r="J42" i="76" s="1"/>
  <c r="G38" i="76"/>
  <c r="G42" i="76" s="1"/>
  <c r="F38" i="76"/>
  <c r="K37" i="76"/>
  <c r="H37" i="76"/>
  <c r="K36" i="76"/>
  <c r="H36" i="76"/>
  <c r="K35" i="76"/>
  <c r="H35" i="76"/>
  <c r="L35" i="76" s="1"/>
  <c r="K34" i="76"/>
  <c r="H34" i="76"/>
  <c r="K33" i="76"/>
  <c r="H33" i="76"/>
  <c r="K32" i="76"/>
  <c r="H32" i="76"/>
  <c r="K31" i="76"/>
  <c r="H31" i="76"/>
  <c r="K30" i="76"/>
  <c r="H30" i="76"/>
  <c r="L30" i="76" s="1"/>
  <c r="K29" i="76"/>
  <c r="H29" i="76"/>
  <c r="K28" i="76"/>
  <c r="H28" i="76"/>
  <c r="K27" i="76"/>
  <c r="H27" i="76"/>
  <c r="K26" i="76"/>
  <c r="H26" i="76"/>
  <c r="K25" i="76"/>
  <c r="L25" i="76" s="1"/>
  <c r="H25" i="76"/>
  <c r="K24" i="76"/>
  <c r="H24" i="76"/>
  <c r="K23" i="76"/>
  <c r="H23" i="76"/>
  <c r="K22" i="76"/>
  <c r="H22" i="76"/>
  <c r="K21" i="76"/>
  <c r="H21" i="76"/>
  <c r="I20" i="76"/>
  <c r="I38" i="76" s="1"/>
  <c r="E20" i="76"/>
  <c r="E38" i="76" s="1"/>
  <c r="K19" i="76"/>
  <c r="H19" i="76"/>
  <c r="K18" i="76"/>
  <c r="H18" i="76"/>
  <c r="K17" i="76"/>
  <c r="H17" i="76"/>
  <c r="K16" i="76"/>
  <c r="H16" i="76"/>
  <c r="K15" i="76"/>
  <c r="H15" i="76"/>
  <c r="K14" i="76"/>
  <c r="H14" i="76"/>
  <c r="K13" i="76"/>
  <c r="H13" i="76"/>
  <c r="K89" i="77"/>
  <c r="I89" i="77"/>
  <c r="H89" i="77"/>
  <c r="G89" i="77"/>
  <c r="F89" i="77"/>
  <c r="K88" i="77"/>
  <c r="I88" i="77"/>
  <c r="H88" i="77"/>
  <c r="F88" i="77"/>
  <c r="K87" i="77"/>
  <c r="I87" i="77"/>
  <c r="H87" i="77"/>
  <c r="G87" i="77"/>
  <c r="F87" i="77"/>
  <c r="L86" i="77"/>
  <c r="J85" i="77"/>
  <c r="L85" i="77" s="1"/>
  <c r="K84" i="77"/>
  <c r="I84" i="77"/>
  <c r="H84" i="77"/>
  <c r="G84" i="77"/>
  <c r="F84" i="77"/>
  <c r="L83" i="77"/>
  <c r="L82" i="77"/>
  <c r="J82" i="77"/>
  <c r="J84" i="77" s="1"/>
  <c r="K81" i="77"/>
  <c r="I81" i="77"/>
  <c r="H81" i="77"/>
  <c r="G81" i="77"/>
  <c r="F81" i="77"/>
  <c r="L80" i="77"/>
  <c r="J79" i="77"/>
  <c r="L79" i="77" s="1"/>
  <c r="K78" i="77"/>
  <c r="I78" i="77"/>
  <c r="H78" i="77"/>
  <c r="G78" i="77"/>
  <c r="F78" i="77"/>
  <c r="L77" i="77"/>
  <c r="J76" i="77"/>
  <c r="J78" i="77" s="1"/>
  <c r="K75" i="77"/>
  <c r="I75" i="77"/>
  <c r="H75" i="77"/>
  <c r="G75" i="77"/>
  <c r="F75" i="77"/>
  <c r="L74" i="77"/>
  <c r="J73" i="77"/>
  <c r="L73" i="77" s="1"/>
  <c r="K72" i="77"/>
  <c r="I72" i="77"/>
  <c r="H72" i="77"/>
  <c r="G72" i="77"/>
  <c r="F72" i="77"/>
  <c r="L71" i="77"/>
  <c r="J70" i="77"/>
  <c r="J72" i="77" s="1"/>
  <c r="L72" i="77" s="1"/>
  <c r="K69" i="77"/>
  <c r="I69" i="77"/>
  <c r="H69" i="77"/>
  <c r="G69" i="77"/>
  <c r="F69" i="77"/>
  <c r="L68" i="77"/>
  <c r="J67" i="77"/>
  <c r="L67" i="77" s="1"/>
  <c r="K66" i="77"/>
  <c r="I66" i="77"/>
  <c r="H66" i="77"/>
  <c r="G66" i="77"/>
  <c r="F66" i="77"/>
  <c r="L65" i="77"/>
  <c r="J64" i="77"/>
  <c r="J66" i="77" s="1"/>
  <c r="L66" i="77" s="1"/>
  <c r="K63" i="77"/>
  <c r="I63" i="77"/>
  <c r="H63" i="77"/>
  <c r="G63" i="77"/>
  <c r="F63" i="77"/>
  <c r="L62" i="77"/>
  <c r="J61" i="77"/>
  <c r="L61" i="77" s="1"/>
  <c r="K60" i="77"/>
  <c r="I60" i="77"/>
  <c r="H60" i="77"/>
  <c r="G60" i="77"/>
  <c r="F60" i="77"/>
  <c r="L59" i="77"/>
  <c r="J58" i="77"/>
  <c r="J60" i="77" s="1"/>
  <c r="L60" i="77" s="1"/>
  <c r="K57" i="77"/>
  <c r="I57" i="77"/>
  <c r="H57" i="77"/>
  <c r="G57" i="77"/>
  <c r="F57" i="77"/>
  <c r="J56" i="77"/>
  <c r="L56" i="77" s="1"/>
  <c r="J55" i="77"/>
  <c r="C55" i="77"/>
  <c r="B55" i="77"/>
  <c r="K54" i="77"/>
  <c r="I54" i="77"/>
  <c r="H54" i="77"/>
  <c r="G54" i="77"/>
  <c r="F54" i="77"/>
  <c r="J53" i="77"/>
  <c r="L53" i="77" s="1"/>
  <c r="J52" i="77"/>
  <c r="L52" i="77" s="1"/>
  <c r="C52" i="77"/>
  <c r="B52" i="77"/>
  <c r="K51" i="77"/>
  <c r="I51" i="77"/>
  <c r="H51" i="77"/>
  <c r="G51" i="77"/>
  <c r="F51" i="77"/>
  <c r="L50" i="77"/>
  <c r="J49" i="77"/>
  <c r="J51" i="77" s="1"/>
  <c r="K48" i="77"/>
  <c r="I48" i="77"/>
  <c r="H48" i="77"/>
  <c r="G48" i="77"/>
  <c r="F48" i="77"/>
  <c r="L47" i="77"/>
  <c r="J46" i="77"/>
  <c r="J48" i="77" s="1"/>
  <c r="K45" i="77"/>
  <c r="I45" i="77"/>
  <c r="H45" i="77"/>
  <c r="G45" i="77"/>
  <c r="F45" i="77"/>
  <c r="L44" i="77"/>
  <c r="J43" i="77"/>
  <c r="J45" i="77" s="1"/>
  <c r="K42" i="77"/>
  <c r="I42" i="77"/>
  <c r="H42" i="77"/>
  <c r="G42" i="77"/>
  <c r="F42" i="77"/>
  <c r="J41" i="77"/>
  <c r="L41" i="77" s="1"/>
  <c r="J40" i="77"/>
  <c r="K39" i="77"/>
  <c r="I39" i="77"/>
  <c r="H39" i="77"/>
  <c r="G39" i="77"/>
  <c r="F39" i="77"/>
  <c r="L38" i="77"/>
  <c r="J37" i="77"/>
  <c r="L37" i="77" s="1"/>
  <c r="C37" i="77"/>
  <c r="B37" i="77"/>
  <c r="K36" i="77"/>
  <c r="I36" i="77"/>
  <c r="H36" i="77"/>
  <c r="F36" i="77"/>
  <c r="L35" i="77"/>
  <c r="G34" i="77"/>
  <c r="G88" i="77" s="1"/>
  <c r="K33" i="77"/>
  <c r="I33" i="77"/>
  <c r="H33" i="77"/>
  <c r="G33" i="77"/>
  <c r="F33" i="77"/>
  <c r="L32" i="77"/>
  <c r="J31" i="77"/>
  <c r="J33" i="77" s="1"/>
  <c r="K30" i="77"/>
  <c r="I30" i="77"/>
  <c r="H30" i="77"/>
  <c r="G30" i="77"/>
  <c r="F30" i="77"/>
  <c r="L29" i="77"/>
  <c r="J28" i="77"/>
  <c r="J30" i="77" s="1"/>
  <c r="K27" i="77"/>
  <c r="I27" i="77"/>
  <c r="H27" i="77"/>
  <c r="G27" i="77"/>
  <c r="F27" i="77"/>
  <c r="L26" i="77"/>
  <c r="J25" i="77"/>
  <c r="J27" i="77" s="1"/>
  <c r="K24" i="77"/>
  <c r="I24" i="77"/>
  <c r="H24" i="77"/>
  <c r="G24" i="77"/>
  <c r="F24" i="77"/>
  <c r="L23" i="77"/>
  <c r="J22" i="77"/>
  <c r="L22" i="77" s="1"/>
  <c r="K21" i="77"/>
  <c r="I21" i="77"/>
  <c r="H21" i="77"/>
  <c r="G21" i="77"/>
  <c r="F21" i="77"/>
  <c r="L20" i="77"/>
  <c r="J19" i="77"/>
  <c r="J21" i="77" s="1"/>
  <c r="K18" i="77"/>
  <c r="I18" i="77"/>
  <c r="H18" i="77"/>
  <c r="G18" i="77"/>
  <c r="F18" i="77"/>
  <c r="L17" i="77"/>
  <c r="J16" i="77"/>
  <c r="L16" i="77" s="1"/>
  <c r="K15" i="77"/>
  <c r="I15" i="77"/>
  <c r="H15" i="77"/>
  <c r="G15" i="77"/>
  <c r="F15" i="77"/>
  <c r="L14" i="77"/>
  <c r="J13" i="77"/>
  <c r="L13" i="77" s="1"/>
  <c r="J88" i="78"/>
  <c r="I88" i="78"/>
  <c r="H88" i="78"/>
  <c r="J87" i="78"/>
  <c r="J86" i="78"/>
  <c r="I86" i="78"/>
  <c r="H86" i="78"/>
  <c r="G86" i="78"/>
  <c r="F86" i="78"/>
  <c r="K85" i="78"/>
  <c r="K84" i="78"/>
  <c r="J83" i="78"/>
  <c r="I83" i="78"/>
  <c r="H83" i="78"/>
  <c r="G83" i="78"/>
  <c r="F83" i="78"/>
  <c r="K82" i="78"/>
  <c r="K81" i="78"/>
  <c r="J80" i="78"/>
  <c r="H80" i="78"/>
  <c r="G80" i="78"/>
  <c r="F80" i="78"/>
  <c r="K79" i="78"/>
  <c r="K78" i="78"/>
  <c r="I87" i="78"/>
  <c r="J77" i="78"/>
  <c r="I77" i="78"/>
  <c r="H77" i="78"/>
  <c r="G77" i="78"/>
  <c r="F77" i="78"/>
  <c r="K76" i="78"/>
  <c r="K75" i="78"/>
  <c r="J74" i="78"/>
  <c r="I74" i="78"/>
  <c r="H74" i="78"/>
  <c r="G74" i="78"/>
  <c r="F74" i="78"/>
  <c r="K73" i="78"/>
  <c r="K72" i="78"/>
  <c r="J71" i="78"/>
  <c r="I71" i="78"/>
  <c r="H71" i="78"/>
  <c r="G71" i="78"/>
  <c r="F71" i="78"/>
  <c r="K70" i="78"/>
  <c r="K69" i="78"/>
  <c r="J68" i="78"/>
  <c r="I68" i="78"/>
  <c r="H68" i="78"/>
  <c r="G68" i="78"/>
  <c r="F68" i="78"/>
  <c r="K67" i="78"/>
  <c r="K66" i="78"/>
  <c r="J65" i="78"/>
  <c r="I65" i="78"/>
  <c r="H65" i="78"/>
  <c r="G65" i="78"/>
  <c r="F65" i="78"/>
  <c r="K64" i="78"/>
  <c r="K63" i="78"/>
  <c r="K65" i="78" s="1"/>
  <c r="J62" i="78"/>
  <c r="I62" i="78"/>
  <c r="H62" i="78"/>
  <c r="G62" i="78"/>
  <c r="F62" i="78"/>
  <c r="K61" i="78"/>
  <c r="K60" i="78"/>
  <c r="J59" i="78"/>
  <c r="I59" i="78"/>
  <c r="H59" i="78"/>
  <c r="G59" i="78"/>
  <c r="F59" i="78"/>
  <c r="K58" i="78"/>
  <c r="K57" i="78"/>
  <c r="J56" i="78"/>
  <c r="I56" i="78"/>
  <c r="H56" i="78"/>
  <c r="G56" i="78"/>
  <c r="F56" i="78"/>
  <c r="K55" i="78"/>
  <c r="K54" i="78"/>
  <c r="C54" i="78"/>
  <c r="B54" i="78"/>
  <c r="J53" i="78"/>
  <c r="I53" i="78"/>
  <c r="H53" i="78"/>
  <c r="G53" i="78"/>
  <c r="F53" i="78"/>
  <c r="K52" i="78"/>
  <c r="K51" i="78"/>
  <c r="C51" i="78"/>
  <c r="B51" i="78"/>
  <c r="J50" i="78"/>
  <c r="I50" i="78"/>
  <c r="H50" i="78"/>
  <c r="G50" i="78"/>
  <c r="F50" i="78"/>
  <c r="K49" i="78"/>
  <c r="K48" i="78"/>
  <c r="J47" i="78"/>
  <c r="I47" i="78"/>
  <c r="G46" i="78"/>
  <c r="G47" i="78" s="1"/>
  <c r="F46" i="78"/>
  <c r="F47" i="78" s="1"/>
  <c r="K45" i="78"/>
  <c r="J44" i="78"/>
  <c r="I44" i="78"/>
  <c r="H44" i="78"/>
  <c r="G44" i="78"/>
  <c r="F44" i="78"/>
  <c r="K43" i="78"/>
  <c r="K42" i="78"/>
  <c r="J41" i="78"/>
  <c r="I41" i="78"/>
  <c r="G41" i="78"/>
  <c r="K40" i="78"/>
  <c r="H39" i="78"/>
  <c r="H41" i="78" s="1"/>
  <c r="F39" i="78"/>
  <c r="F41" i="78" s="1"/>
  <c r="J38" i="78"/>
  <c r="I38" i="78"/>
  <c r="H38" i="78"/>
  <c r="G38" i="78"/>
  <c r="F38" i="78"/>
  <c r="K37" i="78"/>
  <c r="K36" i="78"/>
  <c r="K38" i="78" s="1"/>
  <c r="C36" i="78"/>
  <c r="B36" i="78"/>
  <c r="J35" i="78"/>
  <c r="I35" i="78"/>
  <c r="G35" i="78"/>
  <c r="F35" i="78"/>
  <c r="K34" i="78"/>
  <c r="K33" i="78"/>
  <c r="J32" i="78"/>
  <c r="I32" i="78"/>
  <c r="H32" i="78"/>
  <c r="G32" i="78"/>
  <c r="F32" i="78"/>
  <c r="K31" i="78"/>
  <c r="K30" i="78"/>
  <c r="J29" i="78"/>
  <c r="I29" i="78"/>
  <c r="G28" i="78"/>
  <c r="F28" i="78"/>
  <c r="K27" i="78"/>
  <c r="G87" i="78"/>
  <c r="F87" i="78"/>
  <c r="J26" i="78"/>
  <c r="I26" i="78"/>
  <c r="H26" i="78"/>
  <c r="G26" i="78"/>
  <c r="F26" i="78"/>
  <c r="K25" i="78"/>
  <c r="K24" i="78"/>
  <c r="J23" i="78"/>
  <c r="I23" i="78"/>
  <c r="H23" i="78"/>
  <c r="G23" i="78"/>
  <c r="F23" i="78"/>
  <c r="K22" i="78"/>
  <c r="K21" i="78"/>
  <c r="K23" i="78" s="1"/>
  <c r="J20" i="78"/>
  <c r="I20" i="78"/>
  <c r="H20" i="78"/>
  <c r="G20" i="78"/>
  <c r="F20" i="78"/>
  <c r="K19" i="78"/>
  <c r="K18" i="78"/>
  <c r="J17" i="78"/>
  <c r="I17" i="78"/>
  <c r="H17" i="78"/>
  <c r="G17" i="78"/>
  <c r="F17" i="78"/>
  <c r="K16" i="78"/>
  <c r="K15" i="78"/>
  <c r="J14" i="78"/>
  <c r="I14" i="78"/>
  <c r="H14" i="78"/>
  <c r="G14" i="78"/>
  <c r="F14" i="78"/>
  <c r="K13" i="78"/>
  <c r="K12" i="78"/>
  <c r="E32" i="81"/>
  <c r="D32" i="81"/>
  <c r="C32" i="81"/>
  <c r="F31" i="81"/>
  <c r="F32" i="81" s="1"/>
  <c r="D29" i="81"/>
  <c r="C29" i="81"/>
  <c r="F28" i="81"/>
  <c r="F27" i="81"/>
  <c r="F26" i="81"/>
  <c r="F25" i="81"/>
  <c r="F24" i="81"/>
  <c r="F23" i="81"/>
  <c r="F22" i="81"/>
  <c r="F21" i="81"/>
  <c r="F19" i="81"/>
  <c r="F18" i="81"/>
  <c r="F16" i="81"/>
  <c r="F15" i="81"/>
  <c r="F14" i="81"/>
  <c r="F13" i="81"/>
  <c r="F12" i="81"/>
  <c r="F11" i="81"/>
  <c r="L32" i="76" l="1"/>
  <c r="G36" i="77"/>
  <c r="F29" i="81"/>
  <c r="L84" i="77"/>
  <c r="L34" i="76"/>
  <c r="K17" i="78"/>
  <c r="G90" i="77"/>
  <c r="J57" i="77"/>
  <c r="J75" i="77"/>
  <c r="L75" i="77" s="1"/>
  <c r="C33" i="81"/>
  <c r="L78" i="77"/>
  <c r="J81" i="77"/>
  <c r="L81" i="77" s="1"/>
  <c r="J34" i="77"/>
  <c r="L34" i="77" s="1"/>
  <c r="G88" i="78"/>
  <c r="G89" i="78" s="1"/>
  <c r="K26" i="78"/>
  <c r="H87" i="78"/>
  <c r="H89" i="78" s="1"/>
  <c r="K20" i="78"/>
  <c r="H35" i="78"/>
  <c r="K59" i="78"/>
  <c r="K35" i="78"/>
  <c r="K86" i="78"/>
  <c r="K80" i="78"/>
  <c r="K77" i="78"/>
  <c r="K62" i="78"/>
  <c r="I89" i="78"/>
  <c r="K71" i="78"/>
  <c r="L48" i="77"/>
  <c r="J24" i="77"/>
  <c r="L24" i="77" s="1"/>
  <c r="L33" i="77"/>
  <c r="L43" i="77"/>
  <c r="L46" i="77"/>
  <c r="I90" i="77"/>
  <c r="J89" i="78"/>
  <c r="K44" i="78"/>
  <c r="K14" i="78"/>
  <c r="L51" i="77"/>
  <c r="L49" i="77"/>
  <c r="L57" i="77"/>
  <c r="L21" i="77"/>
  <c r="L45" i="77"/>
  <c r="H90" i="77"/>
  <c r="L24" i="76"/>
  <c r="L26" i="76"/>
  <c r="L23" i="76"/>
  <c r="L27" i="76"/>
  <c r="L30" i="77"/>
  <c r="L31" i="77"/>
  <c r="J63" i="77"/>
  <c r="L63" i="77" s="1"/>
  <c r="F88" i="78"/>
  <c r="F89" i="78" s="1"/>
  <c r="K56" i="78"/>
  <c r="K46" i="78"/>
  <c r="K47" i="78" s="1"/>
  <c r="L33" i="76"/>
  <c r="K28" i="78"/>
  <c r="I80" i="78"/>
  <c r="L19" i="77"/>
  <c r="L28" i="77"/>
  <c r="L64" i="77"/>
  <c r="D33" i="81"/>
  <c r="F29" i="78"/>
  <c r="K53" i="78"/>
  <c r="J54" i="77"/>
  <c r="L54" i="77" s="1"/>
  <c r="J69" i="77"/>
  <c r="L69" i="77" s="1"/>
  <c r="J87" i="77"/>
  <c r="L87" i="77" s="1"/>
  <c r="G29" i="78"/>
  <c r="K68" i="78"/>
  <c r="K83" i="78"/>
  <c r="F42" i="76"/>
  <c r="K50" i="78"/>
  <c r="K74" i="78"/>
  <c r="L27" i="77"/>
  <c r="L70" i="77"/>
  <c r="K32" i="78"/>
  <c r="H20" i="76"/>
  <c r="H38" i="76" s="1"/>
  <c r="H42" i="76" s="1"/>
  <c r="L31" i="76"/>
  <c r="L36" i="76"/>
  <c r="K90" i="77"/>
  <c r="I42" i="76"/>
  <c r="J88" i="77"/>
  <c r="L89" i="77"/>
  <c r="L76" i="77"/>
  <c r="L37" i="76"/>
  <c r="L58" i="77"/>
  <c r="L25" i="77"/>
  <c r="J42" i="77"/>
  <c r="L42" i="77" s="1"/>
  <c r="F90" i="77"/>
  <c r="E42" i="76"/>
  <c r="E33" i="81"/>
  <c r="F33" i="81"/>
  <c r="K20" i="76"/>
  <c r="J36" i="77"/>
  <c r="L36" i="77" s="1"/>
  <c r="J39" i="77"/>
  <c r="L39" i="77" s="1"/>
  <c r="L40" i="77"/>
  <c r="L55" i="77"/>
  <c r="J18" i="77"/>
  <c r="L18" i="77" s="1"/>
  <c r="J15" i="77"/>
  <c r="L15" i="77" s="1"/>
  <c r="J89" i="77"/>
  <c r="H29" i="78"/>
  <c r="K39" i="78"/>
  <c r="K41" i="78" s="1"/>
  <c r="H47" i="78"/>
  <c r="K88" i="78" l="1"/>
  <c r="L38" i="76"/>
  <c r="L42" i="76" s="1"/>
  <c r="J90" i="77"/>
  <c r="K29" i="78"/>
  <c r="L88" i="77"/>
  <c r="L90" i="77" s="1"/>
  <c r="K38" i="76"/>
  <c r="K42" i="76" s="1"/>
  <c r="K87" i="78"/>
  <c r="K89" i="78" l="1"/>
  <c r="O67" i="73"/>
  <c r="N67" i="73"/>
  <c r="P67" i="73" s="1"/>
  <c r="M67" i="73"/>
  <c r="M65" i="73" s="1"/>
  <c r="O53" i="73"/>
  <c r="O54" i="73"/>
  <c r="N53" i="73"/>
  <c r="N54" i="73"/>
  <c r="N52" i="73"/>
  <c r="O52" i="73"/>
  <c r="M53" i="73"/>
  <c r="M54" i="73"/>
  <c r="M52" i="73"/>
  <c r="O45" i="73"/>
  <c r="O46" i="73"/>
  <c r="O49" i="73"/>
  <c r="O50" i="73"/>
  <c r="N49" i="73"/>
  <c r="N57" i="73" s="1"/>
  <c r="N50" i="73"/>
  <c r="M49" i="73"/>
  <c r="M50" i="73"/>
  <c r="N48" i="73"/>
  <c r="O48" i="73"/>
  <c r="M48" i="73"/>
  <c r="N45" i="73"/>
  <c r="N46" i="73"/>
  <c r="M45" i="73"/>
  <c r="M46" i="73"/>
  <c r="N44" i="73"/>
  <c r="O44" i="73"/>
  <c r="M44" i="73"/>
  <c r="N35" i="73"/>
  <c r="O32" i="73"/>
  <c r="O33" i="73"/>
  <c r="O34" i="73"/>
  <c r="O35" i="73"/>
  <c r="N32" i="73"/>
  <c r="N33" i="73"/>
  <c r="N34" i="73"/>
  <c r="N31" i="73"/>
  <c r="O31" i="73"/>
  <c r="M32" i="73"/>
  <c r="M33" i="73"/>
  <c r="M34" i="73"/>
  <c r="M35" i="73"/>
  <c r="M31" i="73"/>
  <c r="O28" i="73"/>
  <c r="O29" i="73"/>
  <c r="N28" i="73"/>
  <c r="N29" i="73"/>
  <c r="N27" i="73"/>
  <c r="O27" i="73"/>
  <c r="M28" i="73"/>
  <c r="M29" i="73"/>
  <c r="M27" i="73"/>
  <c r="O25" i="73"/>
  <c r="O24" i="73"/>
  <c r="N24" i="73"/>
  <c r="N25" i="73"/>
  <c r="N23" i="73"/>
  <c r="O23" i="73"/>
  <c r="M24" i="73"/>
  <c r="M25" i="73"/>
  <c r="M23" i="73"/>
  <c r="O20" i="73"/>
  <c r="O21" i="73"/>
  <c r="N20" i="73"/>
  <c r="N21" i="73"/>
  <c r="N19" i="73"/>
  <c r="O19" i="73"/>
  <c r="M20" i="73"/>
  <c r="M21" i="73"/>
  <c r="M19" i="73"/>
  <c r="O16" i="73"/>
  <c r="O17" i="73"/>
  <c r="N16" i="73"/>
  <c r="N17" i="73"/>
  <c r="N15" i="73"/>
  <c r="O15" i="73"/>
  <c r="M16" i="73"/>
  <c r="M17" i="73"/>
  <c r="M15" i="73"/>
  <c r="E71" i="73"/>
  <c r="E70" i="73"/>
  <c r="G67" i="73"/>
  <c r="F67" i="73"/>
  <c r="F66" i="73"/>
  <c r="E66" i="73"/>
  <c r="E67" i="73"/>
  <c r="G66" i="73"/>
  <c r="H66" i="73" s="1"/>
  <c r="G53" i="73"/>
  <c r="G54" i="73"/>
  <c r="G52" i="73"/>
  <c r="G49" i="73"/>
  <c r="G50" i="73"/>
  <c r="G48" i="73"/>
  <c r="G47" i="73" s="1"/>
  <c r="G45" i="73"/>
  <c r="G46" i="73"/>
  <c r="F53" i="73"/>
  <c r="F54" i="73"/>
  <c r="H54" i="73" s="1"/>
  <c r="F52" i="73"/>
  <c r="F49" i="73"/>
  <c r="F50" i="73"/>
  <c r="F48" i="73"/>
  <c r="F45" i="73"/>
  <c r="F46" i="73"/>
  <c r="F44" i="73"/>
  <c r="H44" i="73" s="1"/>
  <c r="E53" i="73"/>
  <c r="E54" i="73"/>
  <c r="E52" i="73"/>
  <c r="E49" i="73"/>
  <c r="E50" i="73"/>
  <c r="E48" i="73"/>
  <c r="E45" i="73"/>
  <c r="E46" i="73"/>
  <c r="E44" i="73"/>
  <c r="N39" i="73" l="1"/>
  <c r="M57" i="73"/>
  <c r="G58" i="73"/>
  <c r="H50" i="73"/>
  <c r="H58" i="73" s="1"/>
  <c r="H53" i="73"/>
  <c r="M56" i="73"/>
  <c r="P53" i="73"/>
  <c r="H46" i="73"/>
  <c r="P52" i="73"/>
  <c r="M38" i="73"/>
  <c r="M62" i="73" s="1"/>
  <c r="G43" i="73"/>
  <c r="M39" i="73"/>
  <c r="O56" i="73"/>
  <c r="O51" i="73"/>
  <c r="G57" i="73"/>
  <c r="H48" i="73"/>
  <c r="M58" i="73"/>
  <c r="F58" i="73"/>
  <c r="O58" i="73"/>
  <c r="F57" i="73"/>
  <c r="H49" i="73"/>
  <c r="N58" i="73"/>
  <c r="N63" i="73" s="1"/>
  <c r="N71" i="73" s="1"/>
  <c r="O57" i="73"/>
  <c r="E56" i="73"/>
  <c r="G51" i="73"/>
  <c r="O39" i="73"/>
  <c r="M51" i="73"/>
  <c r="H52" i="73"/>
  <c r="H56" i="73" s="1"/>
  <c r="G42" i="73"/>
  <c r="N56" i="73"/>
  <c r="N38" i="73"/>
  <c r="N62" i="73" s="1"/>
  <c r="N37" i="73"/>
  <c r="H45" i="73"/>
  <c r="F56" i="73"/>
  <c r="G56" i="73"/>
  <c r="O38" i="73"/>
  <c r="N51" i="73"/>
  <c r="O37" i="73"/>
  <c r="N26" i="73"/>
  <c r="M26" i="73"/>
  <c r="H67" i="73"/>
  <c r="F65" i="73"/>
  <c r="E18" i="75"/>
  <c r="F29" i="73"/>
  <c r="F28" i="73"/>
  <c r="F27" i="73"/>
  <c r="F24" i="73"/>
  <c r="F25" i="73"/>
  <c r="F23" i="73"/>
  <c r="F20" i="73"/>
  <c r="F21" i="73"/>
  <c r="F19" i="73"/>
  <c r="F16" i="73"/>
  <c r="F17" i="73"/>
  <c r="F15" i="73"/>
  <c r="H15" i="73" s="1"/>
  <c r="E28" i="73"/>
  <c r="E29" i="73"/>
  <c r="E27" i="73"/>
  <c r="E24" i="73"/>
  <c r="E25" i="73"/>
  <c r="E23" i="73"/>
  <c r="E20" i="73"/>
  <c r="E21" i="73"/>
  <c r="E19" i="73"/>
  <c r="E16" i="73"/>
  <c r="E17" i="73"/>
  <c r="E15" i="73"/>
  <c r="H57" i="73" l="1"/>
  <c r="M63" i="73"/>
  <c r="F38" i="73"/>
  <c r="E39" i="73"/>
  <c r="G55" i="73"/>
  <c r="E37" i="73"/>
  <c r="N61" i="73"/>
  <c r="N36" i="73"/>
  <c r="E38" i="73"/>
  <c r="F39" i="73"/>
  <c r="F63" i="73" s="1"/>
  <c r="F18" i="73"/>
  <c r="O39" i="75" l="1"/>
  <c r="O38" i="75"/>
  <c r="O37" i="75"/>
  <c r="H67" i="75"/>
  <c r="H66" i="75"/>
  <c r="P65" i="75"/>
  <c r="O65" i="75"/>
  <c r="N65" i="75"/>
  <c r="G65" i="75"/>
  <c r="F65" i="75"/>
  <c r="E65" i="75"/>
  <c r="E63" i="75"/>
  <c r="E62" i="75"/>
  <c r="O58" i="75"/>
  <c r="N58" i="75"/>
  <c r="M58" i="75"/>
  <c r="G58" i="75"/>
  <c r="F58" i="75"/>
  <c r="O57" i="75"/>
  <c r="O62" i="75" s="1"/>
  <c r="O70" i="75" s="1"/>
  <c r="N57" i="75"/>
  <c r="M57" i="75"/>
  <c r="G57" i="75"/>
  <c r="F57" i="75"/>
  <c r="O56" i="75"/>
  <c r="N56" i="75"/>
  <c r="M56" i="75"/>
  <c r="G56" i="75"/>
  <c r="F56" i="75"/>
  <c r="P54" i="75"/>
  <c r="H54" i="75"/>
  <c r="P53" i="75"/>
  <c r="H53" i="75"/>
  <c r="P52" i="75"/>
  <c r="H52" i="75"/>
  <c r="O51" i="75"/>
  <c r="N51" i="75"/>
  <c r="M51" i="75"/>
  <c r="G51" i="75"/>
  <c r="F51" i="75"/>
  <c r="P50" i="75"/>
  <c r="H50" i="75"/>
  <c r="P49" i="75"/>
  <c r="H49" i="75"/>
  <c r="P48" i="75"/>
  <c r="H48" i="75"/>
  <c r="O47" i="75"/>
  <c r="N47" i="75"/>
  <c r="M47" i="75"/>
  <c r="G47" i="75"/>
  <c r="F47" i="75"/>
  <c r="P46" i="75"/>
  <c r="H46" i="75"/>
  <c r="P45" i="75"/>
  <c r="H45" i="75"/>
  <c r="P44" i="75"/>
  <c r="H44" i="75"/>
  <c r="O43" i="75"/>
  <c r="N43" i="75"/>
  <c r="M43" i="75"/>
  <c r="G43" i="75"/>
  <c r="F43" i="75"/>
  <c r="N39" i="75"/>
  <c r="M39" i="75"/>
  <c r="M63" i="75" s="1"/>
  <c r="G39" i="75"/>
  <c r="F39" i="75"/>
  <c r="N38" i="75"/>
  <c r="N62" i="75" s="1"/>
  <c r="N70" i="75" s="1"/>
  <c r="M38" i="75"/>
  <c r="M62" i="75" s="1"/>
  <c r="G38" i="75"/>
  <c r="F38" i="75"/>
  <c r="N37" i="75"/>
  <c r="M37" i="75"/>
  <c r="M61" i="75" s="1"/>
  <c r="G37" i="75"/>
  <c r="F37" i="75"/>
  <c r="E37" i="75"/>
  <c r="E36" i="75" s="1"/>
  <c r="P35" i="75"/>
  <c r="P34" i="75"/>
  <c r="P33" i="75"/>
  <c r="P32" i="75"/>
  <c r="P31" i="75"/>
  <c r="O30" i="75"/>
  <c r="N30" i="75"/>
  <c r="M30" i="75"/>
  <c r="P29" i="75"/>
  <c r="H29" i="75"/>
  <c r="P28" i="75"/>
  <c r="H28" i="75"/>
  <c r="P27" i="75"/>
  <c r="H27" i="75"/>
  <c r="O26" i="75"/>
  <c r="N26" i="75"/>
  <c r="M26" i="75"/>
  <c r="G26" i="75"/>
  <c r="F26" i="75"/>
  <c r="E26" i="75"/>
  <c r="P25" i="75"/>
  <c r="H25" i="75"/>
  <c r="P24" i="75"/>
  <c r="H24" i="75"/>
  <c r="P23" i="75"/>
  <c r="H23" i="75"/>
  <c r="O22" i="75"/>
  <c r="N22" i="75"/>
  <c r="M22" i="75"/>
  <c r="G22" i="75"/>
  <c r="F22" i="75"/>
  <c r="E22" i="75"/>
  <c r="P21" i="75"/>
  <c r="H21" i="75"/>
  <c r="P20" i="75"/>
  <c r="H20" i="75"/>
  <c r="P19" i="75"/>
  <c r="O18" i="75"/>
  <c r="H19" i="75"/>
  <c r="N18" i="75"/>
  <c r="M18" i="75"/>
  <c r="G18" i="75"/>
  <c r="F18" i="75"/>
  <c r="P17" i="75"/>
  <c r="H17" i="75"/>
  <c r="P16" i="75"/>
  <c r="H16" i="75"/>
  <c r="P15" i="75"/>
  <c r="O14" i="75"/>
  <c r="H15" i="75"/>
  <c r="N14" i="75"/>
  <c r="M14" i="75"/>
  <c r="G14" i="75"/>
  <c r="F14" i="75"/>
  <c r="E14" i="75"/>
  <c r="P67" i="74"/>
  <c r="H67" i="74"/>
  <c r="P66" i="74"/>
  <c r="H66" i="74"/>
  <c r="N65" i="74"/>
  <c r="M65" i="74"/>
  <c r="G65" i="74"/>
  <c r="F65" i="74"/>
  <c r="E65" i="74"/>
  <c r="O58" i="74"/>
  <c r="N58" i="74"/>
  <c r="M58" i="74"/>
  <c r="G58" i="74"/>
  <c r="F58" i="74"/>
  <c r="E58" i="74"/>
  <c r="O57" i="74"/>
  <c r="N57" i="74"/>
  <c r="G57" i="74"/>
  <c r="F57" i="74"/>
  <c r="E57" i="74"/>
  <c r="N56" i="74"/>
  <c r="M56" i="74"/>
  <c r="F56" i="74"/>
  <c r="E56" i="74"/>
  <c r="P54" i="74"/>
  <c r="H54" i="74"/>
  <c r="P53" i="74"/>
  <c r="H53" i="74"/>
  <c r="P52" i="74"/>
  <c r="H52" i="74"/>
  <c r="O51" i="74"/>
  <c r="N51" i="74"/>
  <c r="M51" i="74"/>
  <c r="G51" i="74"/>
  <c r="F51" i="74"/>
  <c r="E51" i="74"/>
  <c r="P50" i="74"/>
  <c r="H50" i="74"/>
  <c r="P49" i="74"/>
  <c r="H49" i="74"/>
  <c r="P48" i="74"/>
  <c r="H48" i="74"/>
  <c r="O47" i="74"/>
  <c r="N47" i="74"/>
  <c r="M47" i="74"/>
  <c r="G47" i="74"/>
  <c r="F47" i="74"/>
  <c r="E47" i="74"/>
  <c r="P46" i="74"/>
  <c r="P58" i="74" s="1"/>
  <c r="H46" i="74"/>
  <c r="H58" i="74" s="1"/>
  <c r="P45" i="74"/>
  <c r="P57" i="74" s="1"/>
  <c r="H45" i="74"/>
  <c r="H57" i="74" s="1"/>
  <c r="O43" i="74"/>
  <c r="H44" i="74"/>
  <c r="N43" i="74"/>
  <c r="M43" i="74"/>
  <c r="G43" i="74"/>
  <c r="F43" i="74"/>
  <c r="E43" i="74"/>
  <c r="O39" i="74"/>
  <c r="O63" i="74" s="1"/>
  <c r="O71" i="74" s="1"/>
  <c r="N39" i="74"/>
  <c r="N63" i="74" s="1"/>
  <c r="N71" i="74" s="1"/>
  <c r="G39" i="74"/>
  <c r="F39" i="74"/>
  <c r="F63" i="74" s="1"/>
  <c r="F71" i="74" s="1"/>
  <c r="N38" i="74"/>
  <c r="M38" i="74"/>
  <c r="M62" i="74" s="1"/>
  <c r="M70" i="74" s="1"/>
  <c r="G38" i="74"/>
  <c r="G62" i="74" s="1"/>
  <c r="G70" i="74" s="1"/>
  <c r="F38" i="74"/>
  <c r="N37" i="74"/>
  <c r="M37" i="74"/>
  <c r="G37" i="74"/>
  <c r="F37" i="74"/>
  <c r="F61" i="74" s="1"/>
  <c r="E37" i="74"/>
  <c r="E36" i="74" s="1"/>
  <c r="P35" i="74"/>
  <c r="O38" i="74"/>
  <c r="O62" i="74" s="1"/>
  <c r="O70" i="74" s="1"/>
  <c r="P33" i="74"/>
  <c r="P32" i="74"/>
  <c r="N30" i="74"/>
  <c r="M30" i="74"/>
  <c r="P29" i="74"/>
  <c r="H29" i="74"/>
  <c r="P28" i="74"/>
  <c r="H28" i="74"/>
  <c r="P27" i="74"/>
  <c r="H27" i="74"/>
  <c r="O26" i="74"/>
  <c r="N26" i="74"/>
  <c r="G26" i="74"/>
  <c r="F26" i="74"/>
  <c r="E26" i="74"/>
  <c r="P25" i="74"/>
  <c r="H25" i="74"/>
  <c r="P24" i="74"/>
  <c r="H24" i="74"/>
  <c r="O22" i="74"/>
  <c r="H23" i="74"/>
  <c r="N22" i="74"/>
  <c r="M22" i="74"/>
  <c r="G22" i="74"/>
  <c r="F22" i="74"/>
  <c r="E22" i="74"/>
  <c r="P21" i="74"/>
  <c r="H21" i="74"/>
  <c r="P20" i="74"/>
  <c r="H20" i="74"/>
  <c r="P19" i="74"/>
  <c r="H19" i="74"/>
  <c r="O18" i="74"/>
  <c r="N18" i="74"/>
  <c r="M18" i="74"/>
  <c r="G18" i="74"/>
  <c r="F18" i="74"/>
  <c r="P17" i="74"/>
  <c r="H17" i="74"/>
  <c r="P16" i="74"/>
  <c r="H16" i="74"/>
  <c r="O14" i="74"/>
  <c r="H15" i="74"/>
  <c r="G14" i="74"/>
  <c r="N14" i="74"/>
  <c r="M14" i="74"/>
  <c r="F14" i="74"/>
  <c r="E14" i="74"/>
  <c r="O65" i="73"/>
  <c r="N65" i="73"/>
  <c r="P66" i="73"/>
  <c r="G65" i="73"/>
  <c r="E65" i="73"/>
  <c r="N70" i="73"/>
  <c r="F55" i="73"/>
  <c r="P54" i="73"/>
  <c r="F47" i="73"/>
  <c r="P46" i="73"/>
  <c r="E58" i="73"/>
  <c r="P45" i="73"/>
  <c r="E57" i="73"/>
  <c r="F62" i="73"/>
  <c r="P34" i="73"/>
  <c r="G29" i="73"/>
  <c r="G28" i="73"/>
  <c r="F26" i="73"/>
  <c r="G25" i="73"/>
  <c r="H25" i="73" s="1"/>
  <c r="G24" i="73"/>
  <c r="E22" i="73"/>
  <c r="H23" i="73"/>
  <c r="F22" i="73"/>
  <c r="H21" i="73"/>
  <c r="G20" i="73"/>
  <c r="H20" i="73" s="1"/>
  <c r="G19" i="73"/>
  <c r="F37" i="73"/>
  <c r="E18" i="73"/>
  <c r="G17" i="73"/>
  <c r="H17" i="73" s="1"/>
  <c r="G16" i="73"/>
  <c r="E14" i="73"/>
  <c r="H14" i="75" l="1"/>
  <c r="H22" i="75"/>
  <c r="H26" i="75"/>
  <c r="N42" i="75"/>
  <c r="M42" i="75"/>
  <c r="H43" i="74"/>
  <c r="H42" i="74" s="1"/>
  <c r="H47" i="74"/>
  <c r="H51" i="74"/>
  <c r="P18" i="75"/>
  <c r="P22" i="75"/>
  <c r="P51" i="75"/>
  <c r="P26" i="74"/>
  <c r="M42" i="74"/>
  <c r="F63" i="75"/>
  <c r="P30" i="75"/>
  <c r="H18" i="74"/>
  <c r="H57" i="75"/>
  <c r="P47" i="74"/>
  <c r="P51" i="74"/>
  <c r="H38" i="75"/>
  <c r="N63" i="75"/>
  <c r="N71" i="75" s="1"/>
  <c r="M55" i="75"/>
  <c r="E59" i="75" s="1"/>
  <c r="P26" i="75"/>
  <c r="F42" i="75"/>
  <c r="P65" i="74"/>
  <c r="G61" i="75"/>
  <c r="O55" i="75"/>
  <c r="O63" i="75"/>
  <c r="O71" i="75" s="1"/>
  <c r="H65" i="74"/>
  <c r="P39" i="75"/>
  <c r="G37" i="73"/>
  <c r="G61" i="73" s="1"/>
  <c r="G69" i="73" s="1"/>
  <c r="G18" i="73"/>
  <c r="O42" i="75"/>
  <c r="P14" i="75"/>
  <c r="P38" i="75"/>
  <c r="P62" i="75" s="1"/>
  <c r="P70" i="75" s="1"/>
  <c r="F71" i="75"/>
  <c r="F71" i="73" s="1"/>
  <c r="H43" i="75"/>
  <c r="G63" i="74"/>
  <c r="G71" i="74" s="1"/>
  <c r="G63" i="75"/>
  <c r="G71" i="75" s="1"/>
  <c r="P56" i="75"/>
  <c r="H51" i="75"/>
  <c r="E55" i="74"/>
  <c r="F61" i="75"/>
  <c r="P57" i="75"/>
  <c r="H47" i="75"/>
  <c r="F55" i="75"/>
  <c r="P47" i="75"/>
  <c r="H14" i="74"/>
  <c r="G36" i="74"/>
  <c r="G55" i="74"/>
  <c r="P58" i="75"/>
  <c r="G55" i="75"/>
  <c r="P39" i="74"/>
  <c r="P63" i="74" s="1"/>
  <c r="P71" i="74" s="1"/>
  <c r="F55" i="74"/>
  <c r="H58" i="75"/>
  <c r="H38" i="74"/>
  <c r="H62" i="74" s="1"/>
  <c r="H70" i="74" s="1"/>
  <c r="M55" i="74"/>
  <c r="F13" i="75"/>
  <c r="N36" i="75"/>
  <c r="F40" i="75" s="1"/>
  <c r="H56" i="75"/>
  <c r="H55" i="75" s="1"/>
  <c r="H39" i="74"/>
  <c r="F62" i="75"/>
  <c r="F70" i="75" s="1"/>
  <c r="O61" i="75"/>
  <c r="O69" i="75" s="1"/>
  <c r="O68" i="75" s="1"/>
  <c r="F62" i="74"/>
  <c r="F70" i="74" s="1"/>
  <c r="F70" i="73" s="1"/>
  <c r="N42" i="74"/>
  <c r="G42" i="75"/>
  <c r="N55" i="75"/>
  <c r="G26" i="73"/>
  <c r="P18" i="74"/>
  <c r="H26" i="74"/>
  <c r="O13" i="75"/>
  <c r="G13" i="75"/>
  <c r="G22" i="73"/>
  <c r="P24" i="73"/>
  <c r="N47" i="73"/>
  <c r="M22" i="73"/>
  <c r="P27" i="73"/>
  <c r="N22" i="73"/>
  <c r="P15" i="73"/>
  <c r="F36" i="73"/>
  <c r="F61" i="73"/>
  <c r="O26" i="73"/>
  <c r="O22" i="73"/>
  <c r="P31" i="73"/>
  <c r="F51" i="73"/>
  <c r="P51" i="73"/>
  <c r="P49" i="73"/>
  <c r="G38" i="73"/>
  <c r="P20" i="73"/>
  <c r="P21" i="73"/>
  <c r="E47" i="73"/>
  <c r="P17" i="73"/>
  <c r="N30" i="73"/>
  <c r="N18" i="73"/>
  <c r="E43" i="73"/>
  <c r="O18" i="73"/>
  <c r="P33" i="73"/>
  <c r="G14" i="73"/>
  <c r="H16" i="73"/>
  <c r="H14" i="73" s="1"/>
  <c r="P50" i="73"/>
  <c r="P58" i="73" s="1"/>
  <c r="P19" i="73"/>
  <c r="P23" i="73"/>
  <c r="P35" i="73"/>
  <c r="N43" i="73"/>
  <c r="N55" i="73"/>
  <c r="F59" i="73" s="1"/>
  <c r="H51" i="73"/>
  <c r="H24" i="73"/>
  <c r="H22" i="73" s="1"/>
  <c r="P25" i="73"/>
  <c r="P28" i="73"/>
  <c r="P32" i="73"/>
  <c r="M47" i="73"/>
  <c r="F14" i="73"/>
  <c r="F13" i="73" s="1"/>
  <c r="M14" i="73"/>
  <c r="H29" i="73"/>
  <c r="H39" i="73" s="1"/>
  <c r="H63" i="73" s="1"/>
  <c r="H71" i="73" s="1"/>
  <c r="N14" i="73"/>
  <c r="G39" i="73"/>
  <c r="G63" i="73" s="1"/>
  <c r="O47" i="73"/>
  <c r="P47" i="73" s="1"/>
  <c r="P16" i="73"/>
  <c r="M71" i="73"/>
  <c r="P48" i="73"/>
  <c r="H19" i="73"/>
  <c r="H18" i="73" s="1"/>
  <c r="P39" i="73"/>
  <c r="F43" i="73"/>
  <c r="E51" i="73"/>
  <c r="N69" i="73"/>
  <c r="N68" i="73" s="1"/>
  <c r="M18" i="73"/>
  <c r="M37" i="73"/>
  <c r="P38" i="73"/>
  <c r="E63" i="73"/>
  <c r="H28" i="73"/>
  <c r="O42" i="74"/>
  <c r="N55" i="74"/>
  <c r="F59" i="74" s="1"/>
  <c r="N61" i="74"/>
  <c r="N69" i="74" s="1"/>
  <c r="M61" i="74"/>
  <c r="M60" i="74" s="1"/>
  <c r="F42" i="74"/>
  <c r="E42" i="74"/>
  <c r="H56" i="74"/>
  <c r="H55" i="74" s="1"/>
  <c r="G42" i="74"/>
  <c r="N13" i="74"/>
  <c r="N36" i="74"/>
  <c r="M13" i="74"/>
  <c r="G13" i="74"/>
  <c r="H37" i="74"/>
  <c r="F13" i="74"/>
  <c r="E13" i="74"/>
  <c r="H65" i="75"/>
  <c r="O36" i="75"/>
  <c r="N61" i="75"/>
  <c r="N69" i="75" s="1"/>
  <c r="N68" i="75" s="1"/>
  <c r="P37" i="75"/>
  <c r="N13" i="75"/>
  <c r="M13" i="75"/>
  <c r="H39" i="75"/>
  <c r="H63" i="75" s="1"/>
  <c r="H71" i="75" s="1"/>
  <c r="H18" i="75"/>
  <c r="H13" i="75" s="1"/>
  <c r="G36" i="75"/>
  <c r="H37" i="75"/>
  <c r="E61" i="75"/>
  <c r="E60" i="75" s="1"/>
  <c r="E13" i="75"/>
  <c r="G69" i="75"/>
  <c r="M69" i="75"/>
  <c r="M68" i="75" s="1"/>
  <c r="M60" i="75"/>
  <c r="H62" i="75"/>
  <c r="H70" i="75" s="1"/>
  <c r="G62" i="75"/>
  <c r="G70" i="75" s="1"/>
  <c r="G70" i="73" s="1"/>
  <c r="P43" i="75"/>
  <c r="F36" i="75"/>
  <c r="M36" i="75"/>
  <c r="E40" i="75" s="1"/>
  <c r="O37" i="74"/>
  <c r="O13" i="74"/>
  <c r="P31" i="74"/>
  <c r="F69" i="74"/>
  <c r="H63" i="74"/>
  <c r="H71" i="74" s="1"/>
  <c r="M69" i="74"/>
  <c r="M68" i="74" s="1"/>
  <c r="P44" i="74"/>
  <c r="O56" i="74"/>
  <c r="O55" i="74" s="1"/>
  <c r="G59" i="74" s="1"/>
  <c r="O65" i="74"/>
  <c r="N62" i="74"/>
  <c r="N70" i="74" s="1"/>
  <c r="H22" i="74"/>
  <c r="M36" i="74"/>
  <c r="E40" i="74" s="1"/>
  <c r="E61" i="74"/>
  <c r="E69" i="74" s="1"/>
  <c r="P15" i="74"/>
  <c r="P14" i="74" s="1"/>
  <c r="P23" i="74"/>
  <c r="P22" i="74" s="1"/>
  <c r="P34" i="74"/>
  <c r="P38" i="74" s="1"/>
  <c r="P62" i="74" s="1"/>
  <c r="P70" i="74" s="1"/>
  <c r="G61" i="74"/>
  <c r="F36" i="74"/>
  <c r="O14" i="73"/>
  <c r="P29" i="73"/>
  <c r="P44" i="73"/>
  <c r="P57" i="73"/>
  <c r="M30" i="73"/>
  <c r="M43" i="73"/>
  <c r="P65" i="73"/>
  <c r="N60" i="73"/>
  <c r="O30" i="73"/>
  <c r="O43" i="73"/>
  <c r="H27" i="73"/>
  <c r="E26" i="73"/>
  <c r="E13" i="73" s="1"/>
  <c r="E55" i="73"/>
  <c r="H65" i="73"/>
  <c r="P13" i="75" l="1"/>
  <c r="G40" i="75"/>
  <c r="E59" i="74"/>
  <c r="P63" i="75"/>
  <c r="P71" i="75" s="1"/>
  <c r="P36" i="75"/>
  <c r="O40" i="74"/>
  <c r="F60" i="75"/>
  <c r="H61" i="75"/>
  <c r="F59" i="75"/>
  <c r="O59" i="75"/>
  <c r="G60" i="75"/>
  <c r="G71" i="73"/>
  <c r="G68" i="73" s="1"/>
  <c r="H13" i="74"/>
  <c r="F69" i="75"/>
  <c r="F68" i="75" s="1"/>
  <c r="F68" i="74"/>
  <c r="P55" i="75"/>
  <c r="H59" i="75" s="1"/>
  <c r="F60" i="74"/>
  <c r="F42" i="73"/>
  <c r="O60" i="75"/>
  <c r="H42" i="75"/>
  <c r="M61" i="73"/>
  <c r="M69" i="73" s="1"/>
  <c r="M36" i="73"/>
  <c r="E42" i="73"/>
  <c r="P42" i="75"/>
  <c r="G68" i="75"/>
  <c r="F60" i="73"/>
  <c r="F64" i="73" s="1"/>
  <c r="F69" i="73"/>
  <c r="H38" i="73"/>
  <c r="H62" i="73" s="1"/>
  <c r="H70" i="73" s="1"/>
  <c r="N42" i="73"/>
  <c r="O42" i="73"/>
  <c r="P42" i="73" s="1"/>
  <c r="O55" i="73"/>
  <c r="G59" i="73" s="1"/>
  <c r="F40" i="73"/>
  <c r="M42" i="73"/>
  <c r="P22" i="73"/>
  <c r="P18" i="73"/>
  <c r="P30" i="73"/>
  <c r="P56" i="73"/>
  <c r="P55" i="73" s="1"/>
  <c r="H37" i="73"/>
  <c r="H61" i="73" s="1"/>
  <c r="H69" i="73" s="1"/>
  <c r="M70" i="73"/>
  <c r="O62" i="73"/>
  <c r="O70" i="73" s="1"/>
  <c r="E62" i="73"/>
  <c r="E36" i="73"/>
  <c r="G13" i="73"/>
  <c r="N13" i="73"/>
  <c r="H43" i="73"/>
  <c r="H47" i="73"/>
  <c r="P63" i="73"/>
  <c r="P71" i="73" s="1"/>
  <c r="P14" i="73"/>
  <c r="P26" i="73"/>
  <c r="H55" i="73"/>
  <c r="M55" i="73"/>
  <c r="E59" i="73" s="1"/>
  <c r="M13" i="73"/>
  <c r="G62" i="73"/>
  <c r="H26" i="73"/>
  <c r="H13" i="73" s="1"/>
  <c r="O63" i="73"/>
  <c r="O71" i="73" s="1"/>
  <c r="H61" i="74"/>
  <c r="H69" i="74" s="1"/>
  <c r="H68" i="74" s="1"/>
  <c r="N60" i="74"/>
  <c r="N68" i="74"/>
  <c r="F40" i="74"/>
  <c r="H36" i="74"/>
  <c r="N60" i="75"/>
  <c r="F64" i="75" s="1"/>
  <c r="P61" i="75"/>
  <c r="P60" i="75" s="1"/>
  <c r="H36" i="75"/>
  <c r="E69" i="75"/>
  <c r="E68" i="75" s="1"/>
  <c r="E64" i="75"/>
  <c r="H69" i="75"/>
  <c r="H68" i="75" s="1"/>
  <c r="H60" i="75"/>
  <c r="O61" i="74"/>
  <c r="O36" i="74"/>
  <c r="P30" i="74"/>
  <c r="P13" i="74" s="1"/>
  <c r="P37" i="74"/>
  <c r="P43" i="74"/>
  <c r="P42" i="74" s="1"/>
  <c r="P56" i="74"/>
  <c r="P55" i="74" s="1"/>
  <c r="H59" i="74" s="1"/>
  <c r="G60" i="74"/>
  <c r="G69" i="74"/>
  <c r="G68" i="74" s="1"/>
  <c r="E60" i="74"/>
  <c r="E64" i="74" s="1"/>
  <c r="E68" i="74"/>
  <c r="P62" i="73"/>
  <c r="P70" i="73" s="1"/>
  <c r="P43" i="73"/>
  <c r="O36" i="73"/>
  <c r="P36" i="73" s="1"/>
  <c r="P37" i="73"/>
  <c r="O61" i="73"/>
  <c r="G36" i="73"/>
  <c r="O40" i="73" s="1"/>
  <c r="O13" i="73"/>
  <c r="E61" i="73"/>
  <c r="E69" i="73" s="1"/>
  <c r="E40" i="73" l="1"/>
  <c r="H40" i="75"/>
  <c r="O64" i="74"/>
  <c r="G64" i="75"/>
  <c r="F64" i="74"/>
  <c r="H68" i="73"/>
  <c r="P61" i="73"/>
  <c r="P69" i="73" s="1"/>
  <c r="P68" i="73" s="1"/>
  <c r="M60" i="73"/>
  <c r="M68" i="73"/>
  <c r="P13" i="73"/>
  <c r="H42" i="73"/>
  <c r="H59" i="73"/>
  <c r="H36" i="73"/>
  <c r="H40" i="73" s="1"/>
  <c r="H60" i="74"/>
  <c r="P69" i="75"/>
  <c r="P68" i="75" s="1"/>
  <c r="H64" i="75"/>
  <c r="P36" i="74"/>
  <c r="H40" i="74" s="1"/>
  <c r="P61" i="74"/>
  <c r="O69" i="74"/>
  <c r="O68" i="74" s="1"/>
  <c r="O60" i="74"/>
  <c r="G60" i="73"/>
  <c r="O69" i="73"/>
  <c r="O68" i="73" s="1"/>
  <c r="O60" i="73"/>
  <c r="E60" i="73"/>
  <c r="P60" i="73" l="1"/>
  <c r="E64" i="73"/>
  <c r="H60" i="73"/>
  <c r="P69" i="74"/>
  <c r="P68" i="74" s="1"/>
  <c r="P60" i="74"/>
  <c r="H64" i="74" s="1"/>
  <c r="H64" i="73" l="1"/>
  <c r="F68" i="73"/>
  <c r="E68" i="73"/>
</calcChain>
</file>

<file path=xl/sharedStrings.xml><?xml version="1.0" encoding="utf-8"?>
<sst xmlns="http://schemas.openxmlformats.org/spreadsheetml/2006/main" count="1241" uniqueCount="250">
  <si>
    <t>I.</t>
  </si>
  <si>
    <t>1.</t>
  </si>
  <si>
    <t>2.</t>
  </si>
  <si>
    <t>II.</t>
  </si>
  <si>
    <t>3.</t>
  </si>
  <si>
    <t>Közhatalmi bevételek</t>
  </si>
  <si>
    <t>Ellátottak pénzbeli juttatásai</t>
  </si>
  <si>
    <t>Kötelező feladatok</t>
  </si>
  <si>
    <t>Állami (államigazgatási) feladatok</t>
  </si>
  <si>
    <t xml:space="preserve">Önként vállalt feladatok </t>
  </si>
  <si>
    <t>Egyéb működési célú kiadások</t>
  </si>
  <si>
    <t>Beruházások</t>
  </si>
  <si>
    <t>Felújítások</t>
  </si>
  <si>
    <t xml:space="preserve">Személyi juttatások </t>
  </si>
  <si>
    <t>Működési költségvetési kiadások összesen</t>
  </si>
  <si>
    <t>Felhalmozási költségvetési kiadások összesen</t>
  </si>
  <si>
    <t>Munkaadókat terhelő jár. és szoc. hozzájárulási adó</t>
  </si>
  <si>
    <t>Működési költségvetési kiadások</t>
  </si>
  <si>
    <t>Felhalmozási költségvetési kiadások</t>
  </si>
  <si>
    <t>Működési költségvetési bevételek összesen</t>
  </si>
  <si>
    <t>Felhalmozási költségvetési bevételek</t>
  </si>
  <si>
    <t>Felhalmozási bevételek</t>
  </si>
  <si>
    <t>Felhalmozási költségvetési bevételek összesen</t>
  </si>
  <si>
    <t xml:space="preserve"> költségvetési mérleg</t>
  </si>
  <si>
    <t>Önkormányzat bevételei mindösszesen</t>
  </si>
  <si>
    <t>Önkormányzat kiadásai mindösszesen</t>
  </si>
  <si>
    <t>Dologi kiadások</t>
  </si>
  <si>
    <t>Működési bevételek</t>
  </si>
  <si>
    <t>Eredeti előirányzat</t>
  </si>
  <si>
    <t xml:space="preserve"> </t>
  </si>
  <si>
    <t>I+II.</t>
  </si>
  <si>
    <t>Költségvetési bevételek összesen</t>
  </si>
  <si>
    <t>Finanszírozási bevételek összesen</t>
  </si>
  <si>
    <t>Költségvetési kiadások összesen</t>
  </si>
  <si>
    <t>III.</t>
  </si>
  <si>
    <t>I-III</t>
  </si>
  <si>
    <t xml:space="preserve">Működési költségvetési bevételek </t>
  </si>
  <si>
    <t xml:space="preserve">I. MŰKÖDÉSI KÖLTSÉGVETÉS </t>
  </si>
  <si>
    <t>Bevételi előirányzatok</t>
  </si>
  <si>
    <t>Kiadási előirányzatok</t>
  </si>
  <si>
    <t>(bevételi előirányzatok és kiadási előirányzatok kiemelt előirányzatok szerinti bontásban)</t>
  </si>
  <si>
    <t xml:space="preserve">II. FELHALMOZÁSI KÖLTSÉGVETÉS </t>
  </si>
  <si>
    <t>Működési célú átvett pénzeszközök</t>
  </si>
  <si>
    <t>Működési célú támogatások államháztartáson belülről</t>
  </si>
  <si>
    <t>Felhalmozási célú átvett pénzeszközök</t>
  </si>
  <si>
    <t>Finanszírozási kiadások összesen</t>
  </si>
  <si>
    <t>K1</t>
  </si>
  <si>
    <t>K2</t>
  </si>
  <si>
    <t>K3</t>
  </si>
  <si>
    <t>K4</t>
  </si>
  <si>
    <t>K5</t>
  </si>
  <si>
    <t>B1</t>
  </si>
  <si>
    <t>K6</t>
  </si>
  <si>
    <t>K7</t>
  </si>
  <si>
    <t>K8</t>
  </si>
  <si>
    <t>Egyéb felhalmozási célú kiadások</t>
  </si>
  <si>
    <t>K6+K7+K8</t>
  </si>
  <si>
    <t>K9</t>
  </si>
  <si>
    <t>K1-K9</t>
  </si>
  <si>
    <t>B1-B8</t>
  </si>
  <si>
    <t>Költségvetési bevételek és kiadások egyenlege (hiány)</t>
  </si>
  <si>
    <t>Költségvetési bevételek és kiadások egyenlege (többlet)</t>
  </si>
  <si>
    <t>B8</t>
  </si>
  <si>
    <t>B2</t>
  </si>
  <si>
    <t>B3</t>
  </si>
  <si>
    <t>B4</t>
  </si>
  <si>
    <t>B5</t>
  </si>
  <si>
    <t>B6</t>
  </si>
  <si>
    <t>B7</t>
  </si>
  <si>
    <t xml:space="preserve">K1+K2+K3+K4+K5   </t>
  </si>
  <si>
    <t xml:space="preserve">B1+B3+B4+B6                   </t>
  </si>
  <si>
    <t>B2+B5+B7</t>
  </si>
  <si>
    <t>K1-K8</t>
  </si>
  <si>
    <t>B1-B7</t>
  </si>
  <si>
    <t>Maradvány igénybevétele</t>
  </si>
  <si>
    <t>Államháztartáson belüli megelőlegezések</t>
  </si>
  <si>
    <t>Államháztartáson belüli megelőlegezés visszafizetése</t>
  </si>
  <si>
    <t>Irányító szervi támogatás folyósítása</t>
  </si>
  <si>
    <t>EI.Csop.</t>
  </si>
  <si>
    <t>Kiem.EI.</t>
  </si>
  <si>
    <t>1.a</t>
  </si>
  <si>
    <t>1.b</t>
  </si>
  <si>
    <t xml:space="preserve">    - ebből általános tartalék</t>
  </si>
  <si>
    <t xml:space="preserve">    - ebből céltartalék</t>
  </si>
  <si>
    <t>Költségvetési működési bevételek és kiadások egyenlege (hiány)</t>
  </si>
  <si>
    <t>Költségvetési működési bevételek és kiadások egyenlege (többlet)</t>
  </si>
  <si>
    <t>Költségvetési felhalmozási bevételek és kiadások egyenlege (hiány)</t>
  </si>
  <si>
    <t>Költségvetési felhalmozási bevételek és kiadások egyenlege (többlet)</t>
  </si>
  <si>
    <t>Jelenlegi módosítás</t>
  </si>
  <si>
    <t>Módosított előírányzat</t>
  </si>
  <si>
    <t>összevont költségvetési mérleg</t>
  </si>
  <si>
    <t>Önkormányzati Hivatal bevételei mindösszesen</t>
  </si>
  <si>
    <t>Önkormányzati Hivatal kiadásai mindösszesen</t>
  </si>
  <si>
    <t>( Ft)</t>
  </si>
  <si>
    <t>(1. melléklet az 1/2022. (II. 21.) önkormányzati rendelethez)</t>
  </si>
  <si>
    <t>(2. melléklet az 1/2022. (II. 21.) önkormányzati rendelethez)</t>
  </si>
  <si>
    <t>(3. melléklet az 1/2022. (II. 21.) önkormányzati rendelethez)</t>
  </si>
  <si>
    <t>2022. évi költségvetés módosítása</t>
  </si>
  <si>
    <t>Felhalmozási célú támogatások államháztartáson belülről</t>
  </si>
  <si>
    <t>(9. melléklet az 1/2022. (II. 21.) önkormányzati rendelethez)</t>
  </si>
  <si>
    <t>beruházások, felújítások kiadásai beruházásonként</t>
  </si>
  <si>
    <t>(Ft)</t>
  </si>
  <si>
    <t>Sorszám</t>
  </si>
  <si>
    <t>F   e  l  a  d  a t</t>
  </si>
  <si>
    <t>Módosított előirányzat</t>
  </si>
  <si>
    <t>Hajdú-Bihar Megyei Önkormányzat felhalmozási kiadások</t>
  </si>
  <si>
    <t>Kis- és nagyértékű tárgyi eszközök, informatikai eszközök, irodai bútorok beszerzése</t>
  </si>
  <si>
    <t>Hajdúböszörmény - Hajdúvid - Hajdúdorog kerékpárút engedélyes és kiviteli terve</t>
  </si>
  <si>
    <t>4.</t>
  </si>
  <si>
    <t>Magyar Szürkék Útja pályázat eszközbeszerzés (mobil színpad, rendezvénysátor, fény- és hangtechnika, árusító faházak, áramfejlesztő)</t>
  </si>
  <si>
    <t>5.</t>
  </si>
  <si>
    <t>6.</t>
  </si>
  <si>
    <t>Magyar Szürkék Útja pályázat műszaki ellenőri költség</t>
  </si>
  <si>
    <t>7.</t>
  </si>
  <si>
    <t>Hajdú hagyományok nyomában pályázat eszközbeszerzés (projektorok, vetítéshez kapcsolódó eszközök, notebookok)</t>
  </si>
  <si>
    <t>8.</t>
  </si>
  <si>
    <t xml:space="preserve">Hajdú hagyományok nyomában pályázat kisfilmek készítése </t>
  </si>
  <si>
    <t>9.</t>
  </si>
  <si>
    <t>10.</t>
  </si>
  <si>
    <t>Radiátorok cseréje</t>
  </si>
  <si>
    <t>11.</t>
  </si>
  <si>
    <t>Agrárminisztérium - Ismered megyénk értékeit?-II. pályázat megyei értékeket bemutató kisfilmek beszerzése</t>
  </si>
  <si>
    <t>12.</t>
  </si>
  <si>
    <t>13.</t>
  </si>
  <si>
    <t>14.</t>
  </si>
  <si>
    <t>Foglalkoztatási Paktum Plusz pályázat eszközbeszerzés (tárgyi, informatikai eszközök, immateriális javak)</t>
  </si>
  <si>
    <t>15.</t>
  </si>
  <si>
    <t>Együtt, közösségben Hajdú-Biharban pályázat eszközbeszerzés</t>
  </si>
  <si>
    <t>16.</t>
  </si>
  <si>
    <t>Europe Direct pályázat eszközbeszerzés</t>
  </si>
  <si>
    <t>Hajdú-Bihar Megyei Önkormányzat felhalmozási kiadások összesen</t>
  </si>
  <si>
    <t>Hajdú-Bihar Megyei Önkormányzati Hivatal felhalmozási kiadások</t>
  </si>
  <si>
    <t>Kis- és nagyértékű tárgyi eszközök, informatikai eszközök, irodabútorok beszerzése</t>
  </si>
  <si>
    <t>Hajdú-Bihar Megyei Önkormányzati Hivatal felhalmozási kiadások összesen</t>
  </si>
  <si>
    <t>Felhalmozási kiadások mindösszesen</t>
  </si>
  <si>
    <t>17.</t>
  </si>
  <si>
    <t>18.</t>
  </si>
  <si>
    <t>19.</t>
  </si>
  <si>
    <t>20.</t>
  </si>
  <si>
    <t>21.</t>
  </si>
  <si>
    <t>22.</t>
  </si>
  <si>
    <t>23.</t>
  </si>
  <si>
    <t>(6. melléklet az 1/2022. (II. 21.) önkormányzati rendelethez)</t>
  </si>
  <si>
    <t>európai uniós forrásból finanszírozott támogatással megvalósuló projektek kiadásai - részletes költségvetés</t>
  </si>
  <si>
    <t>Pályázat</t>
  </si>
  <si>
    <t>Kiadások</t>
  </si>
  <si>
    <t>Címe</t>
  </si>
  <si>
    <t>Azonosító</t>
  </si>
  <si>
    <t>Intenzitás</t>
  </si>
  <si>
    <t>Költségvetés</t>
  </si>
  <si>
    <t>Kiemelt előirányzat</t>
  </si>
  <si>
    <t>Személyi</t>
  </si>
  <si>
    <t>Járulék</t>
  </si>
  <si>
    <t>Dologi</t>
  </si>
  <si>
    <t>Támogatás, tartalék</t>
  </si>
  <si>
    <t>Beruházás</t>
  </si>
  <si>
    <t>Összesen</t>
  </si>
  <si>
    <t>OUR WAY</t>
  </si>
  <si>
    <t>PGI05077</t>
  </si>
  <si>
    <t>Önkormányzat</t>
  </si>
  <si>
    <t>Hivatal</t>
  </si>
  <si>
    <t>EUREGA</t>
  </si>
  <si>
    <t>PGI05254</t>
  </si>
  <si>
    <t>RENATUR</t>
  </si>
  <si>
    <t>PGI05798</t>
  </si>
  <si>
    <t>SinCE-AFC</t>
  </si>
  <si>
    <t>PGI05967</t>
  </si>
  <si>
    <t>DelFin</t>
  </si>
  <si>
    <t>CE1374</t>
  </si>
  <si>
    <t>Healing Places</t>
  </si>
  <si>
    <t>CE1308</t>
  </si>
  <si>
    <t>Local Food Chains</t>
  </si>
  <si>
    <t>COS-SEM-2020-04-01</t>
  </si>
  <si>
    <t>Europe Direct Hajdú-Bihar</t>
  </si>
  <si>
    <t>Foglalkoztatási Paktum</t>
  </si>
  <si>
    <t>TOP-5.1.1-15-HB1-2016-00001</t>
  </si>
  <si>
    <t>Magyar Szürkék Útja</t>
  </si>
  <si>
    <t>TOP-1.2.1-15-HB1-2016-00020</t>
  </si>
  <si>
    <t>Hajdú hagyományok nyomában</t>
  </si>
  <si>
    <t>TOP-5.3.2-17-HB1-2018-00001</t>
  </si>
  <si>
    <t>2021-27 tervezés előkészítése</t>
  </si>
  <si>
    <t>TOP-1.5.1-20-2020-00013</t>
  </si>
  <si>
    <t>EFOP - Komádi</t>
  </si>
  <si>
    <t>EFOP-1.5.3-16-2017-00012</t>
  </si>
  <si>
    <t>EFOP - Hajdúhadház</t>
  </si>
  <si>
    <t>EFOP-1.5.3-16-2017-00121</t>
  </si>
  <si>
    <t>EFOP - Kaba</t>
  </si>
  <si>
    <t>EFOP-1.5.3-16-2017-00010</t>
  </si>
  <si>
    <t>EFOP - Hajdúböszörmény</t>
  </si>
  <si>
    <t>EFOP-1.5.3-16-2017-00014</t>
  </si>
  <si>
    <t>EFOP - Püspökladány</t>
  </si>
  <si>
    <t>EFOP-1.5.3-16-2017-00017</t>
  </si>
  <si>
    <t>EFOP - Hajdúnánás</t>
  </si>
  <si>
    <t>EFOP-1.5.3-16-2017-00021</t>
  </si>
  <si>
    <t>EFOP - Csökmő</t>
  </si>
  <si>
    <t>EFOP-1.5.3-16-2017-00023</t>
  </si>
  <si>
    <t>EFOP - Biharkeresztes</t>
  </si>
  <si>
    <t>EFOP-1.5.3-16-2017-00024</t>
  </si>
  <si>
    <t>24.</t>
  </si>
  <si>
    <t>EFOP - Esztár</t>
  </si>
  <si>
    <t>EFOP-1.5.3-16-2017-00058</t>
  </si>
  <si>
    <t>25.</t>
  </si>
  <si>
    <t>EFOP-Berettyóújfalu</t>
  </si>
  <si>
    <t>EFOP-1.5.3-16-2017-00057</t>
  </si>
  <si>
    <t>Mindösszesen</t>
  </si>
  <si>
    <t>(5. melléklet az 1/2022. (II. 21.) önkormányzati rendelethez)</t>
  </si>
  <si>
    <t>európai uniós forrásból finanszírozott támogatással megvalósuló projektek bevételei - részletes költségvetés</t>
  </si>
  <si>
    <t>Bevételek - EU-s forrás</t>
  </si>
  <si>
    <t>Önerő</t>
  </si>
  <si>
    <t>Működési támogatás</t>
  </si>
  <si>
    <t>Felhalm. támogatás</t>
  </si>
  <si>
    <t>Maradvány</t>
  </si>
  <si>
    <t>B1 rovat</t>
  </si>
  <si>
    <t>B6 rovat</t>
  </si>
  <si>
    <t>(4. melléklet az 1/2022. (II. 21.) önkormányzati rendelethez)</t>
  </si>
  <si>
    <t>európai uniós forrásból finanszírozott támogatással megvalósuló projektek bevételei és kiadásai</t>
  </si>
  <si>
    <t>Bevétel</t>
  </si>
  <si>
    <t>Kiadás</t>
  </si>
  <si>
    <t>Működési</t>
  </si>
  <si>
    <t>Felhal-mozási</t>
  </si>
  <si>
    <t>Maradvány igénybevétel</t>
  </si>
  <si>
    <t xml:space="preserve">Működési </t>
  </si>
  <si>
    <t>EU-s forrásból</t>
  </si>
  <si>
    <t>Hajdú-Bihar Megyei Önkormányzat európai uniós projektjei</t>
  </si>
  <si>
    <t>SOCRATES</t>
  </si>
  <si>
    <t>Foglalkoztatási Paktum Plusz</t>
  </si>
  <si>
    <t>TOP_PLUSZ-3.1.1-21-HB1-2022-00001</t>
  </si>
  <si>
    <t>Együtt, közösségben Hajdú-Biharban</t>
  </si>
  <si>
    <t>TOP-5.3.2-17-HB1-2021-00002</t>
  </si>
  <si>
    <t>Hajdú-Bihar Megyei Önkormányzat európai uniós projektjei összesen</t>
  </si>
  <si>
    <t>Hajdú-Bihar Megyei Önkormányzati Hivatal európai uniós projektjei</t>
  </si>
  <si>
    <t>Megyei Foglalkoztatási Paktum</t>
  </si>
  <si>
    <t>Hajdú-Bihar Megyei Önkormányzati Hivatal európai uniós projektjei összesen</t>
  </si>
  <si>
    <t>Debrecen, Piac utca 71. szám alatti ingatlan felújításával kapcsolatban felmerülő tervezési költségek, egyéb eszközbeszerzések</t>
  </si>
  <si>
    <t>Healing Places pályázat - tematikus kisfilmek, projektzáró kisfilm beszerzése</t>
  </si>
  <si>
    <t xml:space="preserve">Környezeti hatástanulmányok készítése (2021-27 tervezés előkészítése pályázat)  </t>
  </si>
  <si>
    <t>3. melléklet a  /2023. (..) önkormányzati rendelethez</t>
  </si>
  <si>
    <t>2. melléklet a  /2023. (..) önkormányzati rendelethez</t>
  </si>
  <si>
    <t>1. melléklet a  /2023. (..) önkormányzati rendelethez</t>
  </si>
  <si>
    <t>4. melléklet a .../2023. (...) önkormányzati rendelethez</t>
  </si>
  <si>
    <t>5. melléklet a .../2023. (...) önkormányzati rendelethez</t>
  </si>
  <si>
    <t>6. melléklet a .../2023. (...) önkormányzati rendelethez</t>
  </si>
  <si>
    <t>7. melléklet a .../2023. (...) önkormányzati rendelethez</t>
  </si>
  <si>
    <t>2023. március 31.</t>
  </si>
  <si>
    <t>Magyar Szürkék Útja pályázat interaktív információs terminál (hardver és szoftver)</t>
  </si>
  <si>
    <t xml:space="preserve">Hajdúböszörmény - Debrecen (Józsa) kerékpárút engedélyes terve (két pályázatból finanszírozva) </t>
  </si>
  <si>
    <t>Magyar Szürkék Útja pályázat televíziós műsorszolgáltatás (televízió műsor, videospot készítés, műsorközlés)</t>
  </si>
  <si>
    <t>Hajdú hagyományok nyomában pályázat fényfestés animációhoz zenei kíséret készítése</t>
  </si>
  <si>
    <t>Hajdú-Bihar Megyei Önkormányzat</t>
  </si>
  <si>
    <t>Hajdú-Bihar Megyei Önkormányzati Hivatal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</si>
</sst>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\-#,##0\ "/>
    <numFmt numFmtId="165" formatCode="0.0%"/>
  </numFmts>
  <fonts count="3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 CE"/>
      <charset val="238"/>
    </font>
    <font>
      <i/>
      <sz val="11"/>
      <name val="Times New Roman"/>
      <family val="1"/>
      <charset val="238"/>
    </font>
    <font>
      <sz val="14"/>
      <color indexed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9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C00000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1"/>
      <name val="Times New Roman"/>
      <family val="1"/>
      <charset val="238"/>
    </font>
    <font>
      <sz val="28"/>
      <color rgb="FFFF0000"/>
      <name val="Times New Roman"/>
      <family val="1"/>
      <charset val="238"/>
    </font>
    <font>
      <sz val="11.5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.5"/>
      <name val="Times New Roman"/>
      <family val="1"/>
      <charset val="238"/>
    </font>
    <font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7" fillId="0" borderId="0"/>
    <xf numFmtId="0" fontId="1" fillId="0" borderId="0"/>
    <xf numFmtId="0" fontId="10" fillId="0" borderId="0"/>
  </cellStyleXfs>
  <cellXfs count="654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/>
    <xf numFmtId="3" fontId="6" fillId="0" borderId="0" xfId="0" applyNumberFormat="1" applyFont="1" applyAlignment="1">
      <alignment horizontal="right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 wrapText="1"/>
    </xf>
    <xf numFmtId="3" fontId="9" fillId="2" borderId="13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8" fillId="0" borderId="0" xfId="2" applyFont="1"/>
    <xf numFmtId="0" fontId="6" fillId="0" borderId="0" xfId="2" applyFont="1"/>
    <xf numFmtId="0" fontId="8" fillId="0" borderId="0" xfId="2" applyFont="1" applyAlignment="1">
      <alignment horizontal="right"/>
    </xf>
    <xf numFmtId="0" fontId="6" fillId="0" borderId="0" xfId="0" applyFont="1" applyAlignment="1">
      <alignment horizontal="center"/>
    </xf>
    <xf numFmtId="3" fontId="8" fillId="2" borderId="4" xfId="0" applyNumberFormat="1" applyFont="1" applyFill="1" applyBorder="1" applyAlignment="1">
      <alignment horizontal="right" vertical="center" wrapText="1"/>
    </xf>
    <xf numFmtId="3" fontId="8" fillId="2" borderId="6" xfId="0" applyNumberFormat="1" applyFont="1" applyFill="1" applyBorder="1" applyAlignment="1">
      <alignment horizontal="right" vertical="center" wrapText="1"/>
    </xf>
    <xf numFmtId="3" fontId="11" fillId="2" borderId="4" xfId="0" applyNumberFormat="1" applyFont="1" applyFill="1" applyBorder="1" applyAlignment="1">
      <alignment horizontal="right" vertical="center" wrapText="1"/>
    </xf>
    <xf numFmtId="3" fontId="11" fillId="2" borderId="6" xfId="0" applyNumberFormat="1" applyFont="1" applyFill="1" applyBorder="1" applyAlignment="1">
      <alignment horizontal="right" vertical="center" wrapText="1"/>
    </xf>
    <xf numFmtId="3" fontId="11" fillId="2" borderId="13" xfId="0" applyNumberFormat="1" applyFont="1" applyFill="1" applyBorder="1" applyAlignment="1">
      <alignment horizontal="right" vertical="center" wrapText="1"/>
    </xf>
    <xf numFmtId="3" fontId="11" fillId="2" borderId="8" xfId="0" applyNumberFormat="1" applyFont="1" applyFill="1" applyBorder="1" applyAlignment="1">
      <alignment horizontal="right" vertical="center" wrapText="1"/>
    </xf>
    <xf numFmtId="3" fontId="8" fillId="2" borderId="20" xfId="0" applyNumberFormat="1" applyFont="1" applyFill="1" applyBorder="1" applyAlignment="1">
      <alignment horizontal="right" vertical="center" wrapText="1"/>
    </xf>
    <xf numFmtId="3" fontId="8" fillId="2" borderId="15" xfId="0" applyNumberFormat="1" applyFont="1" applyFill="1" applyBorder="1" applyAlignment="1">
      <alignment horizontal="right" vertical="center" wrapText="1"/>
    </xf>
    <xf numFmtId="3" fontId="8" fillId="2" borderId="22" xfId="0" applyNumberFormat="1" applyFont="1" applyFill="1" applyBorder="1" applyAlignment="1">
      <alignment horizontal="right" vertical="center" wrapText="1"/>
    </xf>
    <xf numFmtId="3" fontId="11" fillId="3" borderId="41" xfId="0" applyNumberFormat="1" applyFont="1" applyFill="1" applyBorder="1" applyAlignment="1">
      <alignment horizontal="right" vertical="center"/>
    </xf>
    <xf numFmtId="3" fontId="9" fillId="3" borderId="41" xfId="0" applyNumberFormat="1" applyFont="1" applyFill="1" applyBorder="1" applyAlignment="1">
      <alignment horizontal="right" vertical="center"/>
    </xf>
    <xf numFmtId="0" fontId="6" fillId="0" borderId="0" xfId="2" applyFont="1" applyAlignment="1">
      <alignment horizontal="center"/>
    </xf>
    <xf numFmtId="3" fontId="6" fillId="0" borderId="0" xfId="2" applyNumberFormat="1" applyFont="1" applyAlignment="1">
      <alignment horizontal="right"/>
    </xf>
    <xf numFmtId="3" fontId="6" fillId="0" borderId="0" xfId="2" applyNumberFormat="1" applyFont="1" applyAlignment="1">
      <alignment horizontal="center"/>
    </xf>
    <xf numFmtId="0" fontId="12" fillId="0" borderId="0" xfId="2" applyFont="1" applyAlignment="1">
      <alignment horizontal="center"/>
    </xf>
    <xf numFmtId="3" fontId="5" fillId="0" borderId="0" xfId="2" applyNumberFormat="1" applyFont="1" applyAlignment="1">
      <alignment horizontal="right"/>
    </xf>
    <xf numFmtId="0" fontId="9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5" fillId="0" borderId="3" xfId="2" applyFont="1" applyBorder="1" applyAlignment="1">
      <alignment horizontal="center" vertical="center"/>
    </xf>
    <xf numFmtId="3" fontId="8" fillId="0" borderId="4" xfId="2" applyNumberFormat="1" applyFont="1" applyBorder="1" applyAlignment="1">
      <alignment horizontal="right" vertical="center" wrapText="1"/>
    </xf>
    <xf numFmtId="3" fontId="5" fillId="0" borderId="2" xfId="2" applyNumberFormat="1" applyFont="1" applyBorder="1" applyAlignment="1">
      <alignment horizontal="center" vertical="center" wrapText="1"/>
    </xf>
    <xf numFmtId="3" fontId="8" fillId="0" borderId="4" xfId="2" applyNumberFormat="1" applyFont="1" applyBorder="1" applyAlignment="1">
      <alignment horizontal="right" vertical="center"/>
    </xf>
    <xf numFmtId="3" fontId="8" fillId="0" borderId="6" xfId="2" applyNumberFormat="1" applyFont="1" applyBorder="1" applyAlignment="1">
      <alignment horizontal="right" vertical="center"/>
    </xf>
    <xf numFmtId="0" fontId="7" fillId="0" borderId="0" xfId="2" applyFont="1" applyAlignment="1">
      <alignment vertical="center"/>
    </xf>
    <xf numFmtId="0" fontId="6" fillId="0" borderId="2" xfId="2" applyFont="1" applyBorder="1" applyAlignment="1">
      <alignment horizontal="center" vertical="center"/>
    </xf>
    <xf numFmtId="3" fontId="6" fillId="0" borderId="2" xfId="2" applyNumberFormat="1" applyFont="1" applyBorder="1" applyAlignment="1">
      <alignment horizontal="center" vertical="center" wrapText="1"/>
    </xf>
    <xf numFmtId="3" fontId="8" fillId="0" borderId="6" xfId="2" applyNumberFormat="1" applyFont="1" applyBorder="1" applyAlignment="1">
      <alignment horizontal="right" vertical="center" wrapText="1"/>
    </xf>
    <xf numFmtId="3" fontId="9" fillId="0" borderId="4" xfId="2" applyNumberFormat="1" applyFont="1" applyBorder="1" applyAlignment="1">
      <alignment horizontal="center" vertical="center" wrapText="1"/>
    </xf>
    <xf numFmtId="0" fontId="9" fillId="0" borderId="4" xfId="2" applyFont="1" applyBorder="1" applyAlignment="1">
      <alignment horizontal="left" vertical="center"/>
    </xf>
    <xf numFmtId="3" fontId="11" fillId="0" borderId="4" xfId="2" applyNumberFormat="1" applyFont="1" applyBorder="1" applyAlignment="1" applyProtection="1">
      <alignment horizontal="right" vertical="center" wrapText="1"/>
      <protection locked="0"/>
    </xf>
    <xf numFmtId="3" fontId="11" fillId="0" borderId="6" xfId="2" applyNumberFormat="1" applyFont="1" applyBorder="1" applyAlignment="1" applyProtection="1">
      <alignment horizontal="right" vertical="center" wrapText="1"/>
      <protection locked="0"/>
    </xf>
    <xf numFmtId="3" fontId="8" fillId="0" borderId="4" xfId="2" applyNumberFormat="1" applyFont="1" applyBorder="1" applyAlignment="1" applyProtection="1">
      <alignment horizontal="right" vertical="center" wrapText="1"/>
      <protection locked="0"/>
    </xf>
    <xf numFmtId="3" fontId="8" fillId="0" borderId="6" xfId="2" applyNumberFormat="1" applyFont="1" applyBorder="1" applyAlignment="1" applyProtection="1">
      <alignment horizontal="right" vertical="center" wrapText="1"/>
      <protection locked="0"/>
    </xf>
    <xf numFmtId="3" fontId="22" fillId="0" borderId="6" xfId="2" applyNumberFormat="1" applyFont="1" applyBorder="1" applyAlignment="1" applyProtection="1">
      <alignment horizontal="right" vertical="center" wrapText="1"/>
      <protection locked="0"/>
    </xf>
    <xf numFmtId="0" fontId="6" fillId="0" borderId="1" xfId="2" applyFont="1" applyBorder="1" applyAlignment="1">
      <alignment horizontal="center" vertical="center"/>
    </xf>
    <xf numFmtId="3" fontId="16" fillId="0" borderId="4" xfId="2" applyNumberFormat="1" applyFont="1" applyBorder="1" applyAlignment="1">
      <alignment horizontal="center" vertical="center" wrapText="1"/>
    </xf>
    <xf numFmtId="0" fontId="16" fillId="0" borderId="4" xfId="2" applyFont="1" applyBorder="1" applyAlignment="1">
      <alignment horizontal="left" vertical="center"/>
    </xf>
    <xf numFmtId="3" fontId="6" fillId="0" borderId="0" xfId="2" applyNumberFormat="1" applyFont="1" applyAlignment="1">
      <alignment vertical="center"/>
    </xf>
    <xf numFmtId="3" fontId="6" fillId="0" borderId="1" xfId="2" applyNumberFormat="1" applyFont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/>
    </xf>
    <xf numFmtId="3" fontId="5" fillId="2" borderId="22" xfId="2" applyNumberFormat="1" applyFont="1" applyFill="1" applyBorder="1" applyAlignment="1">
      <alignment horizontal="right" vertical="center" wrapText="1"/>
    </xf>
    <xf numFmtId="3" fontId="5" fillId="2" borderId="2" xfId="2" applyNumberFormat="1" applyFont="1" applyFill="1" applyBorder="1" applyAlignment="1">
      <alignment horizontal="center" vertical="center" wrapText="1"/>
    </xf>
    <xf numFmtId="3" fontId="8" fillId="2" borderId="4" xfId="2" applyNumberFormat="1" applyFont="1" applyFill="1" applyBorder="1" applyAlignment="1">
      <alignment horizontal="right" vertical="center" wrapText="1"/>
    </xf>
    <xf numFmtId="3" fontId="8" fillId="2" borderId="6" xfId="2" applyNumberFormat="1" applyFont="1" applyFill="1" applyBorder="1" applyAlignment="1">
      <alignment horizontal="right" vertical="center" wrapText="1"/>
    </xf>
    <xf numFmtId="0" fontId="6" fillId="2" borderId="2" xfId="2" applyFont="1" applyFill="1" applyBorder="1" applyAlignment="1">
      <alignment horizontal="center" vertical="center"/>
    </xf>
    <xf numFmtId="3" fontId="9" fillId="2" borderId="4" xfId="2" applyNumberFormat="1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left" vertical="center"/>
    </xf>
    <xf numFmtId="3" fontId="11" fillId="2" borderId="4" xfId="2" applyNumberFormat="1" applyFont="1" applyFill="1" applyBorder="1" applyAlignment="1">
      <alignment horizontal="right" vertical="center" wrapText="1"/>
    </xf>
    <xf numFmtId="3" fontId="11" fillId="2" borderId="6" xfId="2" applyNumberFormat="1" applyFont="1" applyFill="1" applyBorder="1" applyAlignment="1">
      <alignment horizontal="right" vertical="center" wrapText="1"/>
    </xf>
    <xf numFmtId="0" fontId="6" fillId="2" borderId="1" xfId="2" applyFont="1" applyFill="1" applyBorder="1" applyAlignment="1">
      <alignment horizontal="center" vertical="center"/>
    </xf>
    <xf numFmtId="3" fontId="11" fillId="2" borderId="13" xfId="2" applyNumberFormat="1" applyFont="1" applyFill="1" applyBorder="1" applyAlignment="1">
      <alignment horizontal="right" vertical="center" wrapText="1"/>
    </xf>
    <xf numFmtId="0" fontId="19" fillId="0" borderId="0" xfId="2" applyFont="1" applyAlignment="1">
      <alignment horizontal="center" vertical="center"/>
    </xf>
    <xf numFmtId="3" fontId="5" fillId="0" borderId="3" xfId="2" applyNumberFormat="1" applyFont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/>
    </xf>
    <xf numFmtId="3" fontId="5" fillId="2" borderId="3" xfId="2" applyNumberFormat="1" applyFont="1" applyFill="1" applyBorder="1" applyAlignment="1">
      <alignment horizontal="center" vertical="center" wrapText="1"/>
    </xf>
    <xf numFmtId="3" fontId="7" fillId="2" borderId="2" xfId="2" applyNumberFormat="1" applyFont="1" applyFill="1" applyBorder="1" applyAlignment="1">
      <alignment horizontal="center" vertical="center" wrapText="1"/>
    </xf>
    <xf numFmtId="3" fontId="9" fillId="2" borderId="13" xfId="2" applyNumberFormat="1" applyFont="1" applyFill="1" applyBorder="1" applyAlignment="1">
      <alignment horizontal="center" vertical="center" wrapText="1"/>
    </xf>
    <xf numFmtId="0" fontId="9" fillId="2" borderId="13" xfId="2" applyFont="1" applyFill="1" applyBorder="1" applyAlignment="1">
      <alignment horizontal="left" vertical="center"/>
    </xf>
    <xf numFmtId="3" fontId="11" fillId="2" borderId="8" xfId="2" applyNumberFormat="1" applyFont="1" applyFill="1" applyBorder="1" applyAlignment="1">
      <alignment horizontal="right" vertical="center" wrapText="1"/>
    </xf>
    <xf numFmtId="0" fontId="20" fillId="0" borderId="0" xfId="2" applyFont="1" applyAlignment="1">
      <alignment vertical="center"/>
    </xf>
    <xf numFmtId="3" fontId="8" fillId="2" borderId="22" xfId="2" applyNumberFormat="1" applyFont="1" applyFill="1" applyBorder="1" applyAlignment="1">
      <alignment horizontal="right" vertical="center" wrapText="1"/>
    </xf>
    <xf numFmtId="0" fontId="5" fillId="2" borderId="14" xfId="2" applyFont="1" applyFill="1" applyBorder="1" applyAlignment="1">
      <alignment horizontal="center" vertical="center"/>
    </xf>
    <xf numFmtId="3" fontId="8" fillId="2" borderId="20" xfId="2" applyNumberFormat="1" applyFont="1" applyFill="1" applyBorder="1" applyAlignment="1">
      <alignment horizontal="right" vertical="center" wrapText="1"/>
    </xf>
    <xf numFmtId="3" fontId="8" fillId="2" borderId="15" xfId="2" applyNumberFormat="1" applyFont="1" applyFill="1" applyBorder="1" applyAlignment="1">
      <alignment horizontal="right" vertical="center" wrapText="1"/>
    </xf>
    <xf numFmtId="0" fontId="5" fillId="0" borderId="0" xfId="2" applyFont="1" applyAlignment="1">
      <alignment vertical="center"/>
    </xf>
    <xf numFmtId="0" fontId="5" fillId="0" borderId="2" xfId="2" applyFont="1" applyBorder="1" applyAlignment="1">
      <alignment horizontal="center" vertical="center"/>
    </xf>
    <xf numFmtId="3" fontId="8" fillId="0" borderId="22" xfId="2" applyNumberFormat="1" applyFont="1" applyBorder="1" applyAlignment="1">
      <alignment horizontal="right" vertical="center" wrapText="1"/>
    </xf>
    <xf numFmtId="0" fontId="5" fillId="0" borderId="14" xfId="2" applyFont="1" applyBorder="1" applyAlignment="1">
      <alignment horizontal="center" vertical="center"/>
    </xf>
    <xf numFmtId="3" fontId="8" fillId="0" borderId="20" xfId="2" applyNumberFormat="1" applyFont="1" applyBorder="1" applyAlignment="1">
      <alignment horizontal="right" vertical="center" wrapText="1"/>
    </xf>
    <xf numFmtId="3" fontId="8" fillId="0" borderId="15" xfId="2" applyNumberFormat="1" applyFont="1" applyBorder="1" applyAlignment="1">
      <alignment horizontal="right" vertical="center" wrapText="1"/>
    </xf>
    <xf numFmtId="0" fontId="8" fillId="0" borderId="2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12" fillId="0" borderId="0" xfId="0" applyFont="1" applyAlignment="1">
      <alignment horizontal="center"/>
    </xf>
    <xf numFmtId="3" fontId="8" fillId="0" borderId="4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3" fontId="11" fillId="0" borderId="4" xfId="0" applyNumberFormat="1" applyFont="1" applyBorder="1" applyAlignment="1" applyProtection="1">
      <alignment horizontal="right" vertical="center" wrapText="1"/>
      <protection locked="0"/>
    </xf>
    <xf numFmtId="3" fontId="11" fillId="0" borderId="19" xfId="0" applyNumberFormat="1" applyFont="1" applyBorder="1" applyAlignment="1" applyProtection="1">
      <alignment horizontal="right" vertical="center" wrapText="1"/>
      <protection locked="0"/>
    </xf>
    <xf numFmtId="3" fontId="11" fillId="0" borderId="6" xfId="0" applyNumberFormat="1" applyFont="1" applyBorder="1" applyAlignment="1" applyProtection="1">
      <alignment horizontal="right" vertical="center" wrapText="1"/>
      <protection locked="0"/>
    </xf>
    <xf numFmtId="3" fontId="11" fillId="0" borderId="41" xfId="0" applyNumberFormat="1" applyFont="1" applyBorder="1" applyAlignment="1">
      <alignment horizontal="right" vertical="center"/>
    </xf>
    <xf numFmtId="3" fontId="16" fillId="0" borderId="4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/>
    </xf>
    <xf numFmtId="3" fontId="9" fillId="0" borderId="4" xfId="0" applyNumberFormat="1" applyFont="1" applyBorder="1" applyAlignment="1" applyProtection="1">
      <alignment horizontal="right" vertical="center" wrapText="1"/>
      <protection locked="0"/>
    </xf>
    <xf numFmtId="3" fontId="9" fillId="0" borderId="6" xfId="0" applyNumberFormat="1" applyFont="1" applyBorder="1" applyAlignment="1" applyProtection="1">
      <alignment horizontal="right" vertical="center" wrapText="1"/>
      <protection locked="0"/>
    </xf>
    <xf numFmtId="3" fontId="6" fillId="0" borderId="1" xfId="0" applyNumberFormat="1" applyFont="1" applyBorder="1" applyAlignment="1">
      <alignment horizontal="center" vertical="center" wrapText="1"/>
    </xf>
    <xf numFmtId="3" fontId="5" fillId="2" borderId="22" xfId="0" applyNumberFormat="1" applyFont="1" applyFill="1" applyBorder="1" applyAlignment="1">
      <alignment vertical="center" wrapText="1"/>
    </xf>
    <xf numFmtId="3" fontId="9" fillId="2" borderId="4" xfId="0" applyNumberFormat="1" applyFont="1" applyFill="1" applyBorder="1" applyAlignment="1">
      <alignment vertical="center"/>
    </xf>
    <xf numFmtId="3" fontId="11" fillId="2" borderId="4" xfId="0" applyNumberFormat="1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/>
    </xf>
    <xf numFmtId="3" fontId="5" fillId="0" borderId="3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right" vertical="center" wrapText="1"/>
    </xf>
    <xf numFmtId="3" fontId="8" fillId="0" borderId="15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vertical="center"/>
    </xf>
    <xf numFmtId="3" fontId="8" fillId="0" borderId="19" xfId="2" applyNumberFormat="1" applyFont="1" applyBorder="1" applyAlignment="1">
      <alignment horizontal="right" vertical="center" wrapText="1"/>
    </xf>
    <xf numFmtId="3" fontId="8" fillId="0" borderId="19" xfId="2" applyNumberFormat="1" applyFont="1" applyBorder="1" applyAlignment="1">
      <alignment horizontal="right" vertical="center"/>
    </xf>
    <xf numFmtId="3" fontId="11" fillId="0" borderId="19" xfId="2" applyNumberFormat="1" applyFont="1" applyBorder="1" applyAlignment="1" applyProtection="1">
      <alignment horizontal="right" vertical="center" wrapText="1"/>
      <protection locked="0"/>
    </xf>
    <xf numFmtId="3" fontId="11" fillId="0" borderId="41" xfId="2" applyNumberFormat="1" applyFont="1" applyBorder="1" applyAlignment="1">
      <alignment horizontal="right" vertical="center"/>
    </xf>
    <xf numFmtId="3" fontId="9" fillId="0" borderId="4" xfId="2" applyNumberFormat="1" applyFont="1" applyBorder="1" applyAlignment="1" applyProtection="1">
      <alignment horizontal="right" vertical="center" wrapText="1"/>
      <protection locked="0"/>
    </xf>
    <xf numFmtId="3" fontId="9" fillId="0" borderId="13" xfId="2" applyNumberFormat="1" applyFont="1" applyBorder="1" applyAlignment="1" applyProtection="1">
      <alignment horizontal="right" vertical="center" wrapText="1"/>
      <protection locked="0"/>
    </xf>
    <xf numFmtId="3" fontId="11" fillId="0" borderId="13" xfId="2" applyNumberFormat="1" applyFont="1" applyBorder="1" applyAlignment="1" applyProtection="1">
      <alignment horizontal="right" vertical="center" wrapText="1"/>
      <protection locked="0"/>
    </xf>
    <xf numFmtId="3" fontId="11" fillId="2" borderId="5" xfId="2" applyNumberFormat="1" applyFont="1" applyFill="1" applyBorder="1" applyAlignment="1">
      <alignment horizontal="right" vertical="center" wrapText="1"/>
    </xf>
    <xf numFmtId="0" fontId="11" fillId="0" borderId="41" xfId="2" applyFont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4" borderId="14" xfId="0" applyFont="1" applyFill="1" applyBorder="1" applyAlignment="1">
      <alignment horizontal="center" vertical="center" textRotation="90"/>
    </xf>
    <xf numFmtId="0" fontId="5" fillId="4" borderId="44" xfId="0" applyFont="1" applyFill="1" applyBorder="1" applyAlignment="1">
      <alignment horizontal="center" vertical="center"/>
    </xf>
    <xf numFmtId="3" fontId="8" fillId="4" borderId="45" xfId="0" applyNumberFormat="1" applyFont="1" applyFill="1" applyBorder="1" applyAlignment="1">
      <alignment horizontal="center" vertical="center" wrapText="1"/>
    </xf>
    <xf numFmtId="3" fontId="8" fillId="4" borderId="46" xfId="0" applyNumberFormat="1" applyFont="1" applyFill="1" applyBorder="1" applyAlignment="1">
      <alignment horizontal="center" vertical="center" wrapText="1"/>
    </xf>
    <xf numFmtId="3" fontId="8" fillId="4" borderId="47" xfId="0" applyNumberFormat="1" applyFont="1" applyFill="1" applyBorder="1" applyAlignment="1">
      <alignment horizontal="center" vertical="center" wrapText="1"/>
    </xf>
    <xf numFmtId="3" fontId="8" fillId="4" borderId="48" xfId="0" applyNumberFormat="1" applyFont="1" applyFill="1" applyBorder="1" applyAlignment="1">
      <alignment horizontal="center" vertical="center" wrapText="1"/>
    </xf>
    <xf numFmtId="16" fontId="24" fillId="3" borderId="1" xfId="8" applyNumberFormat="1" applyFont="1" applyFill="1" applyBorder="1" applyAlignment="1">
      <alignment horizontal="center" vertical="center"/>
    </xf>
    <xf numFmtId="0" fontId="24" fillId="3" borderId="22" xfId="8" applyFont="1" applyFill="1" applyBorder="1" applyAlignment="1">
      <alignment vertical="center" wrapText="1"/>
    </xf>
    <xf numFmtId="3" fontId="24" fillId="3" borderId="22" xfId="8" applyNumberFormat="1" applyFont="1" applyFill="1" applyBorder="1" applyAlignment="1">
      <alignment vertical="center" wrapText="1"/>
    </xf>
    <xf numFmtId="3" fontId="24" fillId="3" borderId="30" xfId="8" applyNumberFormat="1" applyFont="1" applyFill="1" applyBorder="1" applyAlignment="1">
      <alignment vertical="center" wrapText="1"/>
    </xf>
    <xf numFmtId="3" fontId="24" fillId="3" borderId="30" xfId="8" applyNumberFormat="1" applyFont="1" applyFill="1" applyBorder="1" applyAlignment="1">
      <alignment horizontal="right" vertical="center" wrapText="1"/>
    </xf>
    <xf numFmtId="3" fontId="24" fillId="3" borderId="31" xfId="8" applyNumberFormat="1" applyFont="1" applyFill="1" applyBorder="1" applyAlignment="1">
      <alignment horizontal="right" vertical="center" wrapText="1"/>
    </xf>
    <xf numFmtId="16" fontId="24" fillId="3" borderId="49" xfId="8" applyNumberFormat="1" applyFont="1" applyFill="1" applyBorder="1" applyAlignment="1">
      <alignment horizontal="center" vertical="center"/>
    </xf>
    <xf numFmtId="0" fontId="24" fillId="3" borderId="5" xfId="8" applyFont="1" applyFill="1" applyBorder="1" applyAlignment="1">
      <alignment horizontal="left" vertical="center" wrapText="1"/>
    </xf>
    <xf numFmtId="3" fontId="24" fillId="3" borderId="4" xfId="8" applyNumberFormat="1" applyFont="1" applyFill="1" applyBorder="1" applyAlignment="1">
      <alignment vertical="center" wrapText="1"/>
    </xf>
    <xf numFmtId="3" fontId="24" fillId="3" borderId="19" xfId="8" applyNumberFormat="1" applyFont="1" applyFill="1" applyBorder="1" applyAlignment="1">
      <alignment vertical="center" wrapText="1"/>
    </xf>
    <xf numFmtId="3" fontId="24" fillId="3" borderId="19" xfId="8" applyNumberFormat="1" applyFont="1" applyFill="1" applyBorder="1" applyAlignment="1">
      <alignment horizontal="right" vertical="center" wrapText="1"/>
    </xf>
    <xf numFmtId="0" fontId="25" fillId="0" borderId="0" xfId="0" applyFont="1"/>
    <xf numFmtId="3" fontId="24" fillId="3" borderId="13" xfId="8" applyNumberFormat="1" applyFont="1" applyFill="1" applyBorder="1" applyAlignment="1">
      <alignment vertical="center" wrapText="1"/>
    </xf>
    <xf numFmtId="3" fontId="24" fillId="3" borderId="24" xfId="8" applyNumberFormat="1" applyFont="1" applyFill="1" applyBorder="1" applyAlignment="1">
      <alignment vertical="center" wrapText="1"/>
    </xf>
    <xf numFmtId="3" fontId="24" fillId="3" borderId="24" xfId="8" applyNumberFormat="1" applyFont="1" applyFill="1" applyBorder="1" applyAlignment="1">
      <alignment horizontal="right" vertical="center" wrapText="1"/>
    </xf>
    <xf numFmtId="0" fontId="24" fillId="3" borderId="5" xfId="8" applyFont="1" applyFill="1" applyBorder="1" applyAlignment="1">
      <alignment horizontal="left" vertical="center"/>
    </xf>
    <xf numFmtId="0" fontId="26" fillId="0" borderId="0" xfId="0" applyFont="1"/>
    <xf numFmtId="3" fontId="5" fillId="4" borderId="17" xfId="0" applyNumberFormat="1" applyFont="1" applyFill="1" applyBorder="1" applyAlignment="1">
      <alignment horizontal="right" vertical="center"/>
    </xf>
    <xf numFmtId="3" fontId="5" fillId="4" borderId="10" xfId="0" applyNumberFormat="1" applyFont="1" applyFill="1" applyBorder="1" applyAlignment="1">
      <alignment horizontal="right" vertical="center"/>
    </xf>
    <xf numFmtId="16" fontId="24" fillId="0" borderId="1" xfId="8" applyNumberFormat="1" applyFont="1" applyBorder="1" applyAlignment="1">
      <alignment horizontal="center" vertical="center"/>
    </xf>
    <xf numFmtId="0" fontId="24" fillId="3" borderId="4" xfId="8" applyFont="1" applyFill="1" applyBorder="1" applyAlignment="1">
      <alignment vertical="center" wrapText="1"/>
    </xf>
    <xf numFmtId="3" fontId="24" fillId="3" borderId="20" xfId="8" applyNumberFormat="1" applyFont="1" applyFill="1" applyBorder="1" applyAlignment="1">
      <alignment vertical="center" wrapText="1"/>
    </xf>
    <xf numFmtId="3" fontId="24" fillId="3" borderId="25" xfId="8" applyNumberFormat="1" applyFont="1" applyFill="1" applyBorder="1" applyAlignment="1">
      <alignment vertical="center" wrapText="1"/>
    </xf>
    <xf numFmtId="3" fontId="24" fillId="3" borderId="25" xfId="8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24" fillId="0" borderId="0" xfId="0" applyFont="1"/>
    <xf numFmtId="3" fontId="24" fillId="0" borderId="0" xfId="0" applyNumberFormat="1" applyFont="1"/>
    <xf numFmtId="0" fontId="24" fillId="0" borderId="49" xfId="8" applyFont="1" applyBorder="1" applyAlignment="1">
      <alignment horizontal="center" vertical="center"/>
    </xf>
    <xf numFmtId="3" fontId="24" fillId="0" borderId="4" xfId="0" applyNumberFormat="1" applyFont="1" applyBorder="1" applyAlignment="1">
      <alignment vertical="center"/>
    </xf>
    <xf numFmtId="3" fontId="24" fillId="0" borderId="6" xfId="0" applyNumberFormat="1" applyFont="1" applyBorder="1" applyAlignment="1">
      <alignment vertical="center"/>
    </xf>
    <xf numFmtId="3" fontId="24" fillId="0" borderId="13" xfId="0" applyNumberFormat="1" applyFont="1" applyBorder="1" applyAlignment="1">
      <alignment vertical="center"/>
    </xf>
    <xf numFmtId="0" fontId="24" fillId="0" borderId="4" xfId="8" applyFont="1" applyBorder="1" applyAlignment="1">
      <alignment horizontal="center" vertical="center"/>
    </xf>
    <xf numFmtId="0" fontId="24" fillId="0" borderId="0" xfId="2" applyFont="1"/>
    <xf numFmtId="0" fontId="19" fillId="0" borderId="0" xfId="2" applyFont="1"/>
    <xf numFmtId="3" fontId="5" fillId="4" borderId="7" xfId="2" applyNumberFormat="1" applyFont="1" applyFill="1" applyBorder="1" applyAlignment="1">
      <alignment horizontal="center" vertical="center" wrapText="1"/>
    </xf>
    <xf numFmtId="3" fontId="13" fillId="4" borderId="7" xfId="2" applyNumberFormat="1" applyFont="1" applyFill="1" applyBorder="1" applyAlignment="1">
      <alignment horizontal="center" vertical="center" wrapText="1"/>
    </xf>
    <xf numFmtId="0" fontId="5" fillId="4" borderId="17" xfId="2" applyFont="1" applyFill="1" applyBorder="1" applyAlignment="1">
      <alignment horizontal="center" vertical="center"/>
    </xf>
    <xf numFmtId="0" fontId="5" fillId="4" borderId="10" xfId="2" applyFont="1" applyFill="1" applyBorder="1" applyAlignment="1">
      <alignment horizontal="center" vertical="center"/>
    </xf>
    <xf numFmtId="0" fontId="24" fillId="3" borderId="20" xfId="8" applyFont="1" applyFill="1" applyBorder="1" applyAlignment="1">
      <alignment horizontal="center" vertical="center"/>
    </xf>
    <xf numFmtId="3" fontId="24" fillId="3" borderId="20" xfId="2" applyNumberFormat="1" applyFont="1" applyFill="1" applyBorder="1" applyAlignment="1">
      <alignment vertical="center"/>
    </xf>
    <xf numFmtId="3" fontId="24" fillId="3" borderId="28" xfId="2" applyNumberFormat="1" applyFont="1" applyFill="1" applyBorder="1" applyAlignment="1">
      <alignment vertical="center"/>
    </xf>
    <xf numFmtId="3" fontId="24" fillId="3" borderId="15" xfId="2" applyNumberFormat="1" applyFont="1" applyFill="1" applyBorder="1" applyAlignment="1">
      <alignment vertical="center"/>
    </xf>
    <xf numFmtId="0" fontId="24" fillId="3" borderId="0" xfId="2" applyFont="1" applyFill="1"/>
    <xf numFmtId="0" fontId="24" fillId="3" borderId="22" xfId="8" applyFont="1" applyFill="1" applyBorder="1" applyAlignment="1">
      <alignment horizontal="center" vertical="center"/>
    </xf>
    <xf numFmtId="3" fontId="24" fillId="3" borderId="4" xfId="2" applyNumberFormat="1" applyFont="1" applyFill="1" applyBorder="1" applyAlignment="1">
      <alignment vertical="center"/>
    </xf>
    <xf numFmtId="3" fontId="24" fillId="3" borderId="5" xfId="2" applyNumberFormat="1" applyFont="1" applyFill="1" applyBorder="1" applyAlignment="1">
      <alignment vertical="center"/>
    </xf>
    <xf numFmtId="3" fontId="24" fillId="3" borderId="60" xfId="2" applyNumberFormat="1" applyFont="1" applyFill="1" applyBorder="1" applyAlignment="1">
      <alignment vertical="center"/>
    </xf>
    <xf numFmtId="0" fontId="5" fillId="5" borderId="21" xfId="8" applyFont="1" applyFill="1" applyBorder="1" applyAlignment="1">
      <alignment horizontal="center" vertical="center"/>
    </xf>
    <xf numFmtId="3" fontId="5" fillId="5" borderId="7" xfId="2" applyNumberFormat="1" applyFont="1" applyFill="1" applyBorder="1" applyAlignment="1">
      <alignment vertical="center"/>
    </xf>
    <xf numFmtId="3" fontId="5" fillId="5" borderId="10" xfId="2" applyNumberFormat="1" applyFont="1" applyFill="1" applyBorder="1" applyAlignment="1">
      <alignment vertical="center"/>
    </xf>
    <xf numFmtId="0" fontId="24" fillId="0" borderId="20" xfId="8" applyFont="1" applyBorder="1" applyAlignment="1">
      <alignment horizontal="center" vertical="center"/>
    </xf>
    <xf numFmtId="3" fontId="24" fillId="0" borderId="20" xfId="2" applyNumberFormat="1" applyFont="1" applyBorder="1" applyAlignment="1">
      <alignment vertical="center"/>
    </xf>
    <xf numFmtId="3" fontId="24" fillId="0" borderId="28" xfId="2" applyNumberFormat="1" applyFont="1" applyBorder="1" applyAlignment="1">
      <alignment vertical="center"/>
    </xf>
    <xf numFmtId="3" fontId="24" fillId="0" borderId="15" xfId="2" applyNumberFormat="1" applyFont="1" applyBorder="1" applyAlignment="1">
      <alignment vertical="center"/>
    </xf>
    <xf numFmtId="0" fontId="24" fillId="0" borderId="22" xfId="8" applyFont="1" applyBorder="1" applyAlignment="1">
      <alignment horizontal="center" vertical="center"/>
    </xf>
    <xf numFmtId="3" fontId="24" fillId="0" borderId="13" xfId="2" applyNumberFormat="1" applyFont="1" applyBorder="1" applyAlignment="1">
      <alignment vertical="center"/>
    </xf>
    <xf numFmtId="3" fontId="24" fillId="0" borderId="5" xfId="2" applyNumberFormat="1" applyFont="1" applyBorder="1" applyAlignment="1">
      <alignment vertical="center"/>
    </xf>
    <xf numFmtId="3" fontId="24" fillId="0" borderId="60" xfId="2" applyNumberFormat="1" applyFont="1" applyBorder="1" applyAlignment="1">
      <alignment vertical="center"/>
    </xf>
    <xf numFmtId="3" fontId="24" fillId="3" borderId="22" xfId="2" applyNumberFormat="1" applyFont="1" applyFill="1" applyBorder="1" applyAlignment="1">
      <alignment vertical="center"/>
    </xf>
    <xf numFmtId="3" fontId="24" fillId="3" borderId="16" xfId="2" applyNumberFormat="1" applyFont="1" applyFill="1" applyBorder="1" applyAlignment="1">
      <alignment vertical="center"/>
    </xf>
    <xf numFmtId="3" fontId="24" fillId="0" borderId="22" xfId="2" applyNumberFormat="1" applyFont="1" applyBorder="1" applyAlignment="1">
      <alignment vertical="center"/>
    </xf>
    <xf numFmtId="3" fontId="24" fillId="0" borderId="16" xfId="2" applyNumberFormat="1" applyFont="1" applyBorder="1" applyAlignment="1">
      <alignment vertical="center"/>
    </xf>
    <xf numFmtId="3" fontId="24" fillId="3" borderId="13" xfId="2" applyNumberFormat="1" applyFont="1" applyFill="1" applyBorder="1" applyAlignment="1">
      <alignment vertical="center"/>
    </xf>
    <xf numFmtId="3" fontId="24" fillId="0" borderId="4" xfId="2" applyNumberFormat="1" applyFont="1" applyBorder="1" applyAlignment="1">
      <alignment vertical="center"/>
    </xf>
    <xf numFmtId="0" fontId="5" fillId="5" borderId="32" xfId="8" applyFont="1" applyFill="1" applyBorder="1" applyAlignment="1">
      <alignment horizontal="center" vertical="center"/>
    </xf>
    <xf numFmtId="3" fontId="5" fillId="5" borderId="13" xfId="2" applyNumberFormat="1" applyFont="1" applyFill="1" applyBorder="1" applyAlignment="1">
      <alignment vertical="center"/>
    </xf>
    <xf numFmtId="3" fontId="5" fillId="5" borderId="8" xfId="2" applyNumberFormat="1" applyFont="1" applyFill="1" applyBorder="1" applyAlignment="1">
      <alignment vertical="center"/>
    </xf>
    <xf numFmtId="0" fontId="7" fillId="4" borderId="20" xfId="8" applyFont="1" applyFill="1" applyBorder="1" applyAlignment="1">
      <alignment horizontal="center" vertical="center"/>
    </xf>
    <xf numFmtId="3" fontId="23" fillId="4" borderId="20" xfId="2" applyNumberFormat="1" applyFont="1" applyFill="1" applyBorder="1" applyAlignment="1">
      <alignment vertical="center"/>
    </xf>
    <xf numFmtId="3" fontId="23" fillId="4" borderId="15" xfId="2" applyNumberFormat="1" applyFont="1" applyFill="1" applyBorder="1" applyAlignment="1">
      <alignment vertical="center"/>
    </xf>
    <xf numFmtId="0" fontId="5" fillId="4" borderId="22" xfId="8" applyFont="1" applyFill="1" applyBorder="1" applyAlignment="1">
      <alignment horizontal="center" vertical="center"/>
    </xf>
    <xf numFmtId="3" fontId="23" fillId="4" borderId="22" xfId="2" applyNumberFormat="1" applyFont="1" applyFill="1" applyBorder="1" applyAlignment="1">
      <alignment vertical="center"/>
    </xf>
    <xf numFmtId="3" fontId="23" fillId="4" borderId="60" xfId="2" applyNumberFormat="1" applyFont="1" applyFill="1" applyBorder="1" applyAlignment="1">
      <alignment vertical="center"/>
    </xf>
    <xf numFmtId="0" fontId="5" fillId="4" borderId="21" xfId="8" applyFont="1" applyFill="1" applyBorder="1" applyAlignment="1">
      <alignment horizontal="center" vertical="center"/>
    </xf>
    <xf numFmtId="3" fontId="5" fillId="4" borderId="7" xfId="2" applyNumberFormat="1" applyFont="1" applyFill="1" applyBorder="1"/>
    <xf numFmtId="3" fontId="5" fillId="4" borderId="10" xfId="2" applyNumberFormat="1" applyFont="1" applyFill="1" applyBorder="1"/>
    <xf numFmtId="3" fontId="24" fillId="0" borderId="0" xfId="2" applyNumberFormat="1" applyFont="1"/>
    <xf numFmtId="0" fontId="28" fillId="0" borderId="0" xfId="2" applyFont="1"/>
    <xf numFmtId="0" fontId="7" fillId="0" borderId="0" xfId="2" applyFont="1" applyAlignment="1">
      <alignment horizontal="right"/>
    </xf>
    <xf numFmtId="0" fontId="5" fillId="0" borderId="0" xfId="2" applyFont="1"/>
    <xf numFmtId="0" fontId="7" fillId="0" borderId="0" xfId="2" applyFont="1" applyAlignment="1">
      <alignment horizontal="centerContinuous"/>
    </xf>
    <xf numFmtId="3" fontId="8" fillId="4" borderId="21" xfId="2" applyNumberFormat="1" applyFont="1" applyFill="1" applyBorder="1" applyAlignment="1">
      <alignment horizontal="center" vertical="center" wrapText="1"/>
    </xf>
    <xf numFmtId="3" fontId="24" fillId="0" borderId="6" xfId="2" applyNumberFormat="1" applyFont="1" applyBorder="1" applyAlignment="1">
      <alignment vertical="center"/>
    </xf>
    <xf numFmtId="0" fontId="5" fillId="5" borderId="7" xfId="8" applyFont="1" applyFill="1" applyBorder="1" applyAlignment="1">
      <alignment horizontal="center" vertical="center"/>
    </xf>
    <xf numFmtId="0" fontId="5" fillId="4" borderId="4" xfId="8" applyFont="1" applyFill="1" applyBorder="1" applyAlignment="1">
      <alignment horizontal="center" vertical="center"/>
    </xf>
    <xf numFmtId="0" fontId="5" fillId="4" borderId="7" xfId="8" applyFont="1" applyFill="1" applyBorder="1" applyAlignment="1">
      <alignment horizontal="center" vertical="center"/>
    </xf>
    <xf numFmtId="0" fontId="2" fillId="0" borderId="0" xfId="0" applyFont="1"/>
    <xf numFmtId="0" fontId="5" fillId="0" borderId="0" xfId="0" applyFont="1"/>
    <xf numFmtId="0" fontId="7" fillId="0" borderId="0" xfId="0" applyFont="1" applyAlignment="1">
      <alignment horizontal="centerContinuous"/>
    </xf>
    <xf numFmtId="3" fontId="5" fillId="4" borderId="4" xfId="0" applyNumberFormat="1" applyFont="1" applyFill="1" applyBorder="1" applyAlignment="1">
      <alignment horizontal="center" vertical="center" wrapText="1"/>
    </xf>
    <xf numFmtId="3" fontId="30" fillId="4" borderId="4" xfId="0" applyNumberFormat="1" applyFont="1" applyFill="1" applyBorder="1" applyAlignment="1">
      <alignment horizontal="center" vertical="center" wrapText="1"/>
    </xf>
    <xf numFmtId="3" fontId="5" fillId="4" borderId="7" xfId="0" applyNumberFormat="1" applyFont="1" applyFill="1" applyBorder="1" applyAlignment="1">
      <alignment horizontal="center" vertical="center" wrapText="1"/>
    </xf>
    <xf numFmtId="0" fontId="24" fillId="3" borderId="49" xfId="8" applyFont="1" applyFill="1" applyBorder="1" applyAlignment="1">
      <alignment horizontal="center" vertical="center"/>
    </xf>
    <xf numFmtId="0" fontId="24" fillId="3" borderId="4" xfId="8" applyFont="1" applyFill="1" applyBorder="1" applyAlignment="1">
      <alignment horizontal="center" vertical="center"/>
    </xf>
    <xf numFmtId="165" fontId="24" fillId="3" borderId="4" xfId="8" applyNumberFormat="1" applyFont="1" applyFill="1" applyBorder="1" applyAlignment="1">
      <alignment horizontal="center" vertical="center"/>
    </xf>
    <xf numFmtId="3" fontId="24" fillId="3" borderId="4" xfId="0" applyNumberFormat="1" applyFont="1" applyFill="1" applyBorder="1" applyAlignment="1">
      <alignment vertical="center"/>
    </xf>
    <xf numFmtId="3" fontId="24" fillId="3" borderId="6" xfId="0" applyNumberFormat="1" applyFont="1" applyFill="1" applyBorder="1" applyAlignment="1">
      <alignment vertical="center"/>
    </xf>
    <xf numFmtId="3" fontId="24" fillId="3" borderId="0" xfId="0" applyNumberFormat="1" applyFont="1" applyFill="1"/>
    <xf numFmtId="0" fontId="24" fillId="3" borderId="0" xfId="0" applyFont="1" applyFill="1"/>
    <xf numFmtId="3" fontId="19" fillId="3" borderId="4" xfId="0" applyNumberFormat="1" applyFont="1" applyFill="1" applyBorder="1" applyAlignment="1">
      <alignment vertical="center"/>
    </xf>
    <xf numFmtId="3" fontId="19" fillId="3" borderId="6" xfId="0" applyNumberFormat="1" applyFont="1" applyFill="1" applyBorder="1" applyAlignment="1">
      <alignment vertical="center"/>
    </xf>
    <xf numFmtId="0" fontId="19" fillId="3" borderId="0" xfId="0" applyFont="1" applyFill="1"/>
    <xf numFmtId="3" fontId="24" fillId="3" borderId="13" xfId="0" applyNumberFormat="1" applyFont="1" applyFill="1" applyBorder="1" applyAlignment="1">
      <alignment vertical="center"/>
    </xf>
    <xf numFmtId="165" fontId="24" fillId="0" borderId="4" xfId="8" applyNumberFormat="1" applyFont="1" applyBorder="1" applyAlignment="1">
      <alignment horizontal="center" vertical="center"/>
    </xf>
    <xf numFmtId="0" fontId="24" fillId="0" borderId="4" xfId="8" applyFont="1" applyBorder="1" applyAlignment="1">
      <alignment horizontal="center" vertical="center" wrapText="1"/>
    </xf>
    <xf numFmtId="0" fontId="27" fillId="0" borderId="4" xfId="8" applyFont="1" applyBorder="1" applyAlignment="1">
      <alignment horizontal="center" vertical="center"/>
    </xf>
    <xf numFmtId="0" fontId="27" fillId="0" borderId="4" xfId="8" applyFont="1" applyBorder="1" applyAlignment="1">
      <alignment horizontal="center" vertical="center" wrapText="1"/>
    </xf>
    <xf numFmtId="0" fontId="24" fillId="3" borderId="4" xfId="8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/>
    </xf>
    <xf numFmtId="3" fontId="5" fillId="4" borderId="7" xfId="0" applyNumberFormat="1" applyFont="1" applyFill="1" applyBorder="1" applyAlignment="1">
      <alignment vertical="center"/>
    </xf>
    <xf numFmtId="3" fontId="5" fillId="4" borderId="10" xfId="0" applyNumberFormat="1" applyFont="1" applyFill="1" applyBorder="1" applyAlignment="1">
      <alignment vertical="center"/>
    </xf>
    <xf numFmtId="3" fontId="5" fillId="4" borderId="7" xfId="2" applyNumberFormat="1" applyFont="1" applyFill="1" applyBorder="1" applyAlignment="1">
      <alignment vertical="center"/>
    </xf>
    <xf numFmtId="3" fontId="5" fillId="4" borderId="10" xfId="2" applyNumberFormat="1" applyFont="1" applyFill="1" applyBorder="1" applyAlignment="1">
      <alignment vertical="center"/>
    </xf>
    <xf numFmtId="0" fontId="15" fillId="4" borderId="34" xfId="2" applyFont="1" applyFill="1" applyBorder="1" applyAlignment="1">
      <alignment horizontal="center" vertical="center" wrapText="1"/>
    </xf>
    <xf numFmtId="3" fontId="18" fillId="4" borderId="12" xfId="2" applyNumberFormat="1" applyFont="1" applyFill="1" applyBorder="1" applyAlignment="1">
      <alignment horizontal="center" vertical="center" textRotation="180" wrapText="1"/>
    </xf>
    <xf numFmtId="3" fontId="6" fillId="4" borderId="7" xfId="2" applyNumberFormat="1" applyFont="1" applyFill="1" applyBorder="1" applyAlignment="1">
      <alignment horizontal="center" vertical="center" textRotation="180" wrapText="1"/>
    </xf>
    <xf numFmtId="3" fontId="5" fillId="4" borderId="23" xfId="2" applyNumberFormat="1" applyFont="1" applyFill="1" applyBorder="1" applyAlignment="1">
      <alignment horizontal="center" vertical="center" wrapText="1"/>
    </xf>
    <xf numFmtId="3" fontId="5" fillId="4" borderId="10" xfId="2" applyNumberFormat="1" applyFont="1" applyFill="1" applyBorder="1" applyAlignment="1">
      <alignment horizontal="center" vertical="center" wrapText="1"/>
    </xf>
    <xf numFmtId="0" fontId="15" fillId="4" borderId="34" xfId="0" applyFont="1" applyFill="1" applyBorder="1" applyAlignment="1">
      <alignment horizontal="center" vertical="center" wrapText="1"/>
    </xf>
    <xf numFmtId="3" fontId="18" fillId="4" borderId="12" xfId="0" applyNumberFormat="1" applyFont="1" applyFill="1" applyBorder="1" applyAlignment="1">
      <alignment horizontal="center" vertical="center" textRotation="180" wrapText="1"/>
    </xf>
    <xf numFmtId="3" fontId="6" fillId="4" borderId="7" xfId="0" applyNumberFormat="1" applyFont="1" applyFill="1" applyBorder="1" applyAlignment="1">
      <alignment horizontal="center" vertical="center" textRotation="180" wrapText="1"/>
    </xf>
    <xf numFmtId="3" fontId="5" fillId="4" borderId="23" xfId="0" applyNumberFormat="1" applyFont="1" applyFill="1" applyBorder="1" applyAlignment="1">
      <alignment horizontal="center" vertical="center" wrapText="1"/>
    </xf>
    <xf numFmtId="3" fontId="5" fillId="4" borderId="10" xfId="0" applyNumberFormat="1" applyFont="1" applyFill="1" applyBorder="1" applyAlignment="1">
      <alignment horizontal="center" vertical="center" wrapText="1"/>
    </xf>
    <xf numFmtId="3" fontId="5" fillId="4" borderId="42" xfId="0" applyNumberFormat="1" applyFont="1" applyFill="1" applyBorder="1" applyAlignment="1">
      <alignment horizontal="center" vertical="center" wrapText="1"/>
    </xf>
    <xf numFmtId="0" fontId="20" fillId="4" borderId="23" xfId="2" applyFont="1" applyFill="1" applyBorder="1" applyAlignment="1">
      <alignment horizontal="left" vertical="center" wrapText="1"/>
    </xf>
    <xf numFmtId="3" fontId="20" fillId="4" borderId="7" xfId="2" applyNumberFormat="1" applyFont="1" applyFill="1" applyBorder="1" applyAlignment="1">
      <alignment horizontal="right" vertical="center" wrapText="1"/>
    </xf>
    <xf numFmtId="3" fontId="20" fillId="4" borderId="7" xfId="2" applyNumberFormat="1" applyFont="1" applyFill="1" applyBorder="1" applyAlignment="1">
      <alignment horizontal="center" vertical="center" wrapText="1"/>
    </xf>
    <xf numFmtId="3" fontId="20" fillId="4" borderId="10" xfId="2" applyNumberFormat="1" applyFont="1" applyFill="1" applyBorder="1" applyAlignment="1">
      <alignment horizontal="center" vertical="center" wrapText="1"/>
    </xf>
    <xf numFmtId="3" fontId="8" fillId="4" borderId="7" xfId="2" applyNumberFormat="1" applyFont="1" applyFill="1" applyBorder="1" applyAlignment="1">
      <alignment horizontal="right" vertical="center" wrapText="1"/>
    </xf>
    <xf numFmtId="0" fontId="20" fillId="4" borderId="7" xfId="2" applyFont="1" applyFill="1" applyBorder="1" applyAlignment="1">
      <alignment horizontal="right" vertical="center" wrapText="1"/>
    </xf>
    <xf numFmtId="3" fontId="20" fillId="4" borderId="18" xfId="2" applyNumberFormat="1" applyFont="1" applyFill="1" applyBorder="1" applyAlignment="1">
      <alignment horizontal="right" vertical="center" wrapText="1"/>
    </xf>
    <xf numFmtId="3" fontId="21" fillId="4" borderId="10" xfId="2" applyNumberFormat="1" applyFont="1" applyFill="1" applyBorder="1" applyAlignment="1">
      <alignment horizontal="right" vertical="center" wrapText="1"/>
    </xf>
    <xf numFmtId="3" fontId="8" fillId="4" borderId="7" xfId="2" applyNumberFormat="1" applyFont="1" applyFill="1" applyBorder="1" applyAlignment="1">
      <alignment horizontal="center" vertical="center" wrapText="1"/>
    </xf>
    <xf numFmtId="3" fontId="8" fillId="4" borderId="27" xfId="2" applyNumberFormat="1" applyFont="1" applyFill="1" applyBorder="1" applyAlignment="1">
      <alignment horizontal="center" vertical="center" wrapText="1"/>
    </xf>
    <xf numFmtId="0" fontId="5" fillId="5" borderId="3" xfId="2" applyFont="1" applyFill="1" applyBorder="1" applyAlignment="1">
      <alignment horizontal="center" vertical="center"/>
    </xf>
    <xf numFmtId="3" fontId="8" fillId="5" borderId="4" xfId="2" applyNumberFormat="1" applyFont="1" applyFill="1" applyBorder="1" applyAlignment="1">
      <alignment horizontal="right" vertical="center" wrapText="1"/>
    </xf>
    <xf numFmtId="3" fontId="5" fillId="5" borderId="3" xfId="2" applyNumberFormat="1" applyFont="1" applyFill="1" applyBorder="1" applyAlignment="1">
      <alignment horizontal="center" vertical="center" wrapText="1"/>
    </xf>
    <xf numFmtId="3" fontId="8" fillId="5" borderId="6" xfId="2" applyNumberFormat="1" applyFont="1" applyFill="1" applyBorder="1" applyAlignment="1">
      <alignment horizontal="right" vertical="center" wrapText="1"/>
    </xf>
    <xf numFmtId="0" fontId="8" fillId="5" borderId="2" xfId="2" applyFont="1" applyFill="1" applyBorder="1" applyAlignment="1">
      <alignment vertical="center"/>
    </xf>
    <xf numFmtId="3" fontId="9" fillId="5" borderId="4" xfId="2" applyNumberFormat="1" applyFont="1" applyFill="1" applyBorder="1" applyAlignment="1">
      <alignment horizontal="center" vertical="center" wrapText="1"/>
    </xf>
    <xf numFmtId="0" fontId="9" fillId="5" borderId="4" xfId="2" applyFont="1" applyFill="1" applyBorder="1" applyAlignment="1">
      <alignment horizontal="left" vertical="center"/>
    </xf>
    <xf numFmtId="3" fontId="11" fillId="5" borderId="4" xfId="2" applyNumberFormat="1" applyFont="1" applyFill="1" applyBorder="1" applyAlignment="1">
      <alignment horizontal="right" vertical="center" wrapText="1"/>
    </xf>
    <xf numFmtId="3" fontId="5" fillId="5" borderId="2" xfId="2" applyNumberFormat="1" applyFont="1" applyFill="1" applyBorder="1" applyAlignment="1">
      <alignment vertical="center" wrapText="1"/>
    </xf>
    <xf numFmtId="3" fontId="11" fillId="5" borderId="6" xfId="2" applyNumberFormat="1" applyFont="1" applyFill="1" applyBorder="1" applyAlignment="1">
      <alignment horizontal="right" vertical="center" wrapText="1"/>
    </xf>
    <xf numFmtId="0" fontId="8" fillId="5" borderId="11" xfId="2" applyFont="1" applyFill="1" applyBorder="1" applyAlignment="1">
      <alignment vertical="center"/>
    </xf>
    <xf numFmtId="3" fontId="9" fillId="5" borderId="7" xfId="2" applyNumberFormat="1" applyFont="1" applyFill="1" applyBorder="1" applyAlignment="1">
      <alignment horizontal="center" vertical="center" wrapText="1"/>
    </xf>
    <xf numFmtId="0" fontId="9" fillId="5" borderId="7" xfId="2" applyFont="1" applyFill="1" applyBorder="1" applyAlignment="1">
      <alignment horizontal="left" vertical="center"/>
    </xf>
    <xf numFmtId="3" fontId="11" fillId="5" borderId="7" xfId="2" applyNumberFormat="1" applyFont="1" applyFill="1" applyBorder="1" applyAlignment="1">
      <alignment horizontal="right" vertical="center" wrapText="1"/>
    </xf>
    <xf numFmtId="3" fontId="5" fillId="5" borderId="11" xfId="2" applyNumberFormat="1" applyFont="1" applyFill="1" applyBorder="1" applyAlignment="1">
      <alignment vertical="center" wrapText="1"/>
    </xf>
    <xf numFmtId="3" fontId="11" fillId="5" borderId="10" xfId="2" applyNumberFormat="1" applyFont="1" applyFill="1" applyBorder="1" applyAlignment="1">
      <alignment horizontal="right" vertical="center" wrapText="1"/>
    </xf>
    <xf numFmtId="0" fontId="5" fillId="5" borderId="3" xfId="0" applyFont="1" applyFill="1" applyBorder="1" applyAlignment="1">
      <alignment horizontal="center" vertical="center"/>
    </xf>
    <xf numFmtId="3" fontId="8" fillId="5" borderId="4" xfId="0" applyNumberFormat="1" applyFont="1" applyFill="1" applyBorder="1" applyAlignment="1">
      <alignment horizontal="right" vertical="center" wrapText="1"/>
    </xf>
    <xf numFmtId="3" fontId="5" fillId="5" borderId="3" xfId="0" applyNumberFormat="1" applyFont="1" applyFill="1" applyBorder="1" applyAlignment="1">
      <alignment horizontal="center" vertical="center" wrapText="1"/>
    </xf>
    <xf numFmtId="3" fontId="8" fillId="5" borderId="6" xfId="0" applyNumberFormat="1" applyFont="1" applyFill="1" applyBorder="1" applyAlignment="1">
      <alignment horizontal="right" vertical="center" wrapText="1"/>
    </xf>
    <xf numFmtId="0" fontId="8" fillId="5" borderId="2" xfId="0" applyFont="1" applyFill="1" applyBorder="1" applyAlignment="1">
      <alignment vertical="center"/>
    </xf>
    <xf numFmtId="3" fontId="9" fillId="5" borderId="4" xfId="0" applyNumberFormat="1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left" vertical="center"/>
    </xf>
    <xf numFmtId="3" fontId="11" fillId="5" borderId="4" xfId="0" applyNumberFormat="1" applyFont="1" applyFill="1" applyBorder="1" applyAlignment="1">
      <alignment horizontal="right" vertical="center" wrapText="1"/>
    </xf>
    <xf numFmtId="3" fontId="5" fillId="5" borderId="2" xfId="0" applyNumberFormat="1" applyFont="1" applyFill="1" applyBorder="1" applyAlignment="1">
      <alignment vertical="center" wrapText="1"/>
    </xf>
    <xf numFmtId="3" fontId="11" fillId="5" borderId="6" xfId="0" applyNumberFormat="1" applyFont="1" applyFill="1" applyBorder="1" applyAlignment="1">
      <alignment horizontal="right" vertical="center" wrapText="1"/>
    </xf>
    <xf numFmtId="0" fontId="8" fillId="5" borderId="11" xfId="0" applyFont="1" applyFill="1" applyBorder="1" applyAlignment="1">
      <alignment vertical="center"/>
    </xf>
    <xf numFmtId="3" fontId="9" fillId="5" borderId="7" xfId="0" applyNumberFormat="1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left" vertical="center"/>
    </xf>
    <xf numFmtId="3" fontId="11" fillId="5" borderId="7" xfId="0" applyNumberFormat="1" applyFont="1" applyFill="1" applyBorder="1" applyAlignment="1">
      <alignment horizontal="right" vertical="center" wrapText="1"/>
    </xf>
    <xf numFmtId="3" fontId="5" fillId="5" borderId="11" xfId="0" applyNumberFormat="1" applyFont="1" applyFill="1" applyBorder="1" applyAlignment="1">
      <alignment vertical="center" wrapText="1"/>
    </xf>
    <xf numFmtId="3" fontId="11" fillId="5" borderId="10" xfId="0" applyNumberFormat="1" applyFont="1" applyFill="1" applyBorder="1" applyAlignment="1">
      <alignment horizontal="right" vertical="center" wrapText="1"/>
    </xf>
    <xf numFmtId="3" fontId="20" fillId="4" borderId="23" xfId="0" applyNumberFormat="1" applyFont="1" applyFill="1" applyBorder="1" applyAlignment="1">
      <alignment vertical="center" wrapText="1"/>
    </xf>
    <xf numFmtId="3" fontId="20" fillId="4" borderId="7" xfId="0" applyNumberFormat="1" applyFont="1" applyFill="1" applyBorder="1" applyAlignment="1">
      <alignment vertical="center" wrapText="1"/>
    </xf>
    <xf numFmtId="3" fontId="20" fillId="4" borderId="18" xfId="0" applyNumberFormat="1" applyFont="1" applyFill="1" applyBorder="1" applyAlignment="1">
      <alignment vertical="center" wrapText="1"/>
    </xf>
    <xf numFmtId="3" fontId="20" fillId="4" borderId="7" xfId="0" applyNumberFormat="1" applyFont="1" applyFill="1" applyBorder="1" applyAlignment="1">
      <alignment horizontal="right" vertical="center" wrapText="1"/>
    </xf>
    <xf numFmtId="3" fontId="20" fillId="4" borderId="10" xfId="0" applyNumberFormat="1" applyFont="1" applyFill="1" applyBorder="1" applyAlignment="1">
      <alignment horizontal="right" vertical="center" wrapText="1"/>
    </xf>
    <xf numFmtId="0" fontId="20" fillId="4" borderId="7" xfId="0" applyFont="1" applyFill="1" applyBorder="1" applyAlignment="1">
      <alignment horizontal="left" vertical="center" wrapText="1"/>
    </xf>
    <xf numFmtId="3" fontId="8" fillId="4" borderId="7" xfId="0" applyNumberFormat="1" applyFont="1" applyFill="1" applyBorder="1" applyAlignment="1">
      <alignment horizontal="right" vertical="center" wrapText="1"/>
    </xf>
    <xf numFmtId="0" fontId="20" fillId="4" borderId="7" xfId="0" applyFont="1" applyFill="1" applyBorder="1" applyAlignment="1">
      <alignment horizontal="right" vertical="center" wrapText="1"/>
    </xf>
    <xf numFmtId="3" fontId="20" fillId="4" borderId="18" xfId="0" applyNumberFormat="1" applyFont="1" applyFill="1" applyBorder="1" applyAlignment="1">
      <alignment horizontal="right" vertical="center" wrapText="1"/>
    </xf>
    <xf numFmtId="3" fontId="21" fillId="4" borderId="10" xfId="0" applyNumberFormat="1" applyFont="1" applyFill="1" applyBorder="1" applyAlignment="1">
      <alignment horizontal="right" vertical="center" wrapText="1"/>
    </xf>
    <xf numFmtId="3" fontId="8" fillId="4" borderId="23" xfId="0" applyNumberFormat="1" applyFont="1" applyFill="1" applyBorder="1" applyAlignment="1">
      <alignment horizontal="right" vertical="center" wrapText="1"/>
    </xf>
    <xf numFmtId="3" fontId="8" fillId="4" borderId="10" xfId="0" applyNumberFormat="1" applyFont="1" applyFill="1" applyBorder="1" applyAlignment="1">
      <alignment horizontal="right" vertical="center" wrapText="1"/>
    </xf>
    <xf numFmtId="3" fontId="8" fillId="4" borderId="21" xfId="0" applyNumberFormat="1" applyFont="1" applyFill="1" applyBorder="1" applyAlignment="1">
      <alignment horizontal="right" vertical="center" wrapText="1"/>
    </xf>
    <xf numFmtId="3" fontId="8" fillId="4" borderId="27" xfId="0" applyNumberFormat="1" applyFont="1" applyFill="1" applyBorder="1" applyAlignment="1">
      <alignment horizontal="right" vertical="center" wrapText="1"/>
    </xf>
    <xf numFmtId="164" fontId="20" fillId="4" borderId="7" xfId="2" applyNumberFormat="1" applyFont="1" applyFill="1" applyBorder="1" applyAlignment="1">
      <alignment horizontal="right" vertical="center" wrapText="1"/>
    </xf>
    <xf numFmtId="3" fontId="8" fillId="4" borderId="21" xfId="2" applyNumberFormat="1" applyFont="1" applyFill="1" applyBorder="1" applyAlignment="1">
      <alignment horizontal="right" vertical="center" wrapText="1"/>
    </xf>
    <xf numFmtId="3" fontId="6" fillId="0" borderId="0" xfId="2" applyNumberFormat="1" applyFont="1"/>
    <xf numFmtId="164" fontId="5" fillId="4" borderId="7" xfId="0" applyNumberFormat="1" applyFont="1" applyFill="1" applyBorder="1" applyAlignment="1">
      <alignment horizontal="right" vertical="center" wrapText="1"/>
    </xf>
    <xf numFmtId="3" fontId="5" fillId="4" borderId="7" xfId="0" applyNumberFormat="1" applyFont="1" applyFill="1" applyBorder="1" applyAlignment="1">
      <alignment horizontal="right" vertical="center" wrapText="1"/>
    </xf>
    <xf numFmtId="0" fontId="27" fillId="0" borderId="4" xfId="0" applyFont="1" applyBorder="1" applyAlignment="1">
      <alignment horizontal="center" vertical="center"/>
    </xf>
    <xf numFmtId="0" fontId="6" fillId="0" borderId="4" xfId="8" applyFont="1" applyBorder="1" applyAlignment="1">
      <alignment horizontal="center" vertical="center"/>
    </xf>
    <xf numFmtId="0" fontId="27" fillId="0" borderId="4" xfId="2" applyFont="1" applyBorder="1" applyAlignment="1">
      <alignment horizontal="center" vertical="center"/>
    </xf>
    <xf numFmtId="3" fontId="5" fillId="4" borderId="21" xfId="2" applyNumberFormat="1" applyFont="1" applyFill="1" applyBorder="1" applyAlignment="1">
      <alignment vertical="center"/>
    </xf>
    <xf numFmtId="3" fontId="5" fillId="4" borderId="27" xfId="2" applyNumberFormat="1" applyFont="1" applyFill="1" applyBorder="1" applyAlignment="1">
      <alignment vertical="center"/>
    </xf>
    <xf numFmtId="3" fontId="5" fillId="4" borderId="20" xfId="2" applyNumberFormat="1" applyFont="1" applyFill="1" applyBorder="1" applyAlignment="1">
      <alignment vertical="center"/>
    </xf>
    <xf numFmtId="3" fontId="5" fillId="4" borderId="15" xfId="2" applyNumberFormat="1" applyFont="1" applyFill="1" applyBorder="1" applyAlignment="1">
      <alignment vertical="center"/>
    </xf>
    <xf numFmtId="3" fontId="5" fillId="4" borderId="22" xfId="2" applyNumberFormat="1" applyFont="1" applyFill="1" applyBorder="1" applyAlignment="1">
      <alignment vertical="center"/>
    </xf>
    <xf numFmtId="3" fontId="5" fillId="4" borderId="60" xfId="2" applyNumberFormat="1" applyFont="1" applyFill="1" applyBorder="1" applyAlignment="1">
      <alignment vertical="center"/>
    </xf>
    <xf numFmtId="49" fontId="8" fillId="5" borderId="13" xfId="2" applyNumberFormat="1" applyFont="1" applyFill="1" applyBorder="1" applyAlignment="1">
      <alignment horizontal="center" vertical="center" wrapText="1"/>
    </xf>
    <xf numFmtId="49" fontId="8" fillId="5" borderId="32" xfId="2" applyNumberFormat="1" applyFont="1" applyFill="1" applyBorder="1" applyAlignment="1">
      <alignment horizontal="center" vertical="center" wrapText="1"/>
    </xf>
    <xf numFmtId="49" fontId="8" fillId="5" borderId="21" xfId="2" applyNumberFormat="1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/>
    </xf>
    <xf numFmtId="0" fontId="5" fillId="0" borderId="28" xfId="2" applyFont="1" applyBorder="1" applyAlignment="1">
      <alignment horizontal="left" vertical="center" wrapText="1"/>
    </xf>
    <xf numFmtId="0" fontId="5" fillId="0" borderId="34" xfId="2" applyFont="1" applyBorder="1" applyAlignment="1">
      <alignment horizontal="left" vertical="center" wrapText="1"/>
    </xf>
    <xf numFmtId="0" fontId="5" fillId="0" borderId="25" xfId="2" applyFont="1" applyBorder="1" applyAlignment="1">
      <alignment horizontal="left" vertical="center" wrapText="1"/>
    </xf>
    <xf numFmtId="49" fontId="8" fillId="0" borderId="13" xfId="2" applyNumberFormat="1" applyFont="1" applyBorder="1" applyAlignment="1">
      <alignment horizontal="center" vertical="center"/>
    </xf>
    <xf numFmtId="49" fontId="8" fillId="0" borderId="32" xfId="2" applyNumberFormat="1" applyFont="1" applyBorder="1" applyAlignment="1">
      <alignment horizontal="center" vertical="center"/>
    </xf>
    <xf numFmtId="0" fontId="5" fillId="5" borderId="5" xfId="2" applyFont="1" applyFill="1" applyBorder="1" applyAlignment="1">
      <alignment horizontal="left" vertical="center" wrapText="1"/>
    </xf>
    <xf numFmtId="0" fontId="5" fillId="5" borderId="41" xfId="2" applyFont="1" applyFill="1" applyBorder="1" applyAlignment="1">
      <alignment horizontal="left" vertical="center" wrapText="1"/>
    </xf>
    <xf numFmtId="0" fontId="5" fillId="5" borderId="19" xfId="2" applyFont="1" applyFill="1" applyBorder="1" applyAlignment="1">
      <alignment horizontal="left" vertical="center" wrapText="1"/>
    </xf>
    <xf numFmtId="0" fontId="5" fillId="4" borderId="35" xfId="2" applyFont="1" applyFill="1" applyBorder="1" applyAlignment="1">
      <alignment horizontal="left" vertical="center" wrapText="1"/>
    </xf>
    <xf numFmtId="0" fontId="5" fillId="4" borderId="18" xfId="2" applyFont="1" applyFill="1" applyBorder="1" applyAlignment="1">
      <alignment horizontal="left" vertical="center" wrapText="1"/>
    </xf>
    <xf numFmtId="0" fontId="5" fillId="4" borderId="23" xfId="2" applyFont="1" applyFill="1" applyBorder="1" applyAlignment="1">
      <alignment horizontal="left" vertical="center" wrapText="1"/>
    </xf>
    <xf numFmtId="0" fontId="5" fillId="2" borderId="5" xfId="2" applyFont="1" applyFill="1" applyBorder="1" applyAlignment="1">
      <alignment horizontal="left" vertical="center"/>
    </xf>
    <xf numFmtId="0" fontId="5" fillId="2" borderId="41" xfId="2" applyFont="1" applyFill="1" applyBorder="1" applyAlignment="1">
      <alignment horizontal="left" vertical="center"/>
    </xf>
    <xf numFmtId="0" fontId="5" fillId="2" borderId="19" xfId="2" applyFont="1" applyFill="1" applyBorder="1" applyAlignment="1">
      <alignment horizontal="left" vertical="center"/>
    </xf>
    <xf numFmtId="49" fontId="7" fillId="2" borderId="13" xfId="2" applyNumberFormat="1" applyFont="1" applyFill="1" applyBorder="1" applyAlignment="1">
      <alignment horizontal="center" vertical="center" wrapText="1"/>
    </xf>
    <xf numFmtId="49" fontId="7" fillId="2" borderId="32" xfId="2" applyNumberFormat="1" applyFont="1" applyFill="1" applyBorder="1" applyAlignment="1">
      <alignment horizontal="center" vertical="center" wrapText="1"/>
    </xf>
    <xf numFmtId="49" fontId="7" fillId="2" borderId="19" xfId="2" applyNumberFormat="1" applyFont="1" applyFill="1" applyBorder="1" applyAlignment="1">
      <alignment horizontal="center" vertical="center" wrapText="1"/>
    </xf>
    <xf numFmtId="49" fontId="7" fillId="2" borderId="24" xfId="2" applyNumberFormat="1" applyFont="1" applyFill="1" applyBorder="1" applyAlignment="1">
      <alignment horizontal="center" vertical="center" wrapText="1"/>
    </xf>
    <xf numFmtId="0" fontId="20" fillId="4" borderId="12" xfId="2" applyFont="1" applyFill="1" applyBorder="1" applyAlignment="1">
      <alignment horizontal="left" vertical="center" wrapText="1"/>
    </xf>
    <xf numFmtId="0" fontId="20" fillId="4" borderId="7" xfId="2" applyFont="1" applyFill="1" applyBorder="1" applyAlignment="1">
      <alignment horizontal="left" vertical="center" wrapText="1"/>
    </xf>
    <xf numFmtId="0" fontId="5" fillId="2" borderId="16" xfId="2" applyFont="1" applyFill="1" applyBorder="1" applyAlignment="1">
      <alignment horizontal="left" vertical="center" wrapText="1"/>
    </xf>
    <xf numFmtId="0" fontId="5" fillId="2" borderId="29" xfId="2" applyFont="1" applyFill="1" applyBorder="1" applyAlignment="1">
      <alignment horizontal="left" vertical="center" wrapText="1"/>
    </xf>
    <xf numFmtId="0" fontId="5" fillId="2" borderId="30" xfId="2" applyFont="1" applyFill="1" applyBorder="1" applyAlignment="1">
      <alignment horizontal="left" vertical="center" wrapText="1"/>
    </xf>
    <xf numFmtId="0" fontId="5" fillId="2" borderId="25" xfId="2" applyFont="1" applyFill="1" applyBorder="1" applyAlignment="1">
      <alignment horizontal="left" vertical="center"/>
    </xf>
    <xf numFmtId="0" fontId="5" fillId="2" borderId="20" xfId="2" applyFont="1" applyFill="1" applyBorder="1" applyAlignment="1">
      <alignment horizontal="left" vertical="center"/>
    </xf>
    <xf numFmtId="49" fontId="8" fillId="2" borderId="13" xfId="2" applyNumberFormat="1" applyFont="1" applyFill="1" applyBorder="1" applyAlignment="1">
      <alignment horizontal="center" vertical="center" wrapText="1"/>
    </xf>
    <xf numFmtId="49" fontId="8" fillId="2" borderId="32" xfId="2" applyNumberFormat="1" applyFont="1" applyFill="1" applyBorder="1" applyAlignment="1">
      <alignment horizontal="center" vertical="center" wrapText="1"/>
    </xf>
    <xf numFmtId="49" fontId="8" fillId="2" borderId="22" xfId="2" applyNumberFormat="1" applyFont="1" applyFill="1" applyBorder="1" applyAlignment="1">
      <alignment horizontal="center" vertical="center" wrapText="1"/>
    </xf>
    <xf numFmtId="3" fontId="7" fillId="2" borderId="2" xfId="2" applyNumberFormat="1" applyFont="1" applyFill="1" applyBorder="1" applyAlignment="1">
      <alignment horizontal="center" vertical="top" wrapText="1"/>
    </xf>
    <xf numFmtId="3" fontId="7" fillId="2" borderId="1" xfId="2" applyNumberFormat="1" applyFont="1" applyFill="1" applyBorder="1" applyAlignment="1">
      <alignment horizontal="center" vertical="top" wrapText="1"/>
    </xf>
    <xf numFmtId="49" fontId="8" fillId="2" borderId="19" xfId="2" applyNumberFormat="1" applyFont="1" applyFill="1" applyBorder="1" applyAlignment="1">
      <alignment horizontal="center" vertical="center" wrapText="1"/>
    </xf>
    <xf numFmtId="0" fontId="8" fillId="0" borderId="13" xfId="2" applyFont="1" applyBorder="1" applyAlignment="1">
      <alignment horizontal="center" vertical="center"/>
    </xf>
    <xf numFmtId="0" fontId="8" fillId="0" borderId="32" xfId="2" applyFont="1" applyBorder="1" applyAlignment="1">
      <alignment horizontal="center" vertical="center"/>
    </xf>
    <xf numFmtId="0" fontId="8" fillId="0" borderId="22" xfId="2" applyFont="1" applyBorder="1" applyAlignment="1">
      <alignment horizontal="center" vertical="center"/>
    </xf>
    <xf numFmtId="0" fontId="8" fillId="0" borderId="5" xfId="2" applyFont="1" applyBorder="1" applyAlignment="1">
      <alignment horizontal="left" vertical="center" wrapText="1"/>
    </xf>
    <xf numFmtId="0" fontId="8" fillId="0" borderId="19" xfId="2" applyFont="1" applyBorder="1" applyAlignment="1">
      <alignment horizontal="left" vertical="center" wrapText="1"/>
    </xf>
    <xf numFmtId="3" fontId="8" fillId="0" borderId="13" xfId="2" applyNumberFormat="1" applyFont="1" applyBorder="1" applyAlignment="1">
      <alignment horizontal="center" vertical="center" wrapText="1"/>
    </xf>
    <xf numFmtId="3" fontId="8" fillId="0" borderId="32" xfId="2" applyNumberFormat="1" applyFont="1" applyBorder="1" applyAlignment="1">
      <alignment horizontal="center" vertical="center" wrapText="1"/>
    </xf>
    <xf numFmtId="3" fontId="8" fillId="0" borderId="22" xfId="2" applyNumberFormat="1" applyFont="1" applyBorder="1" applyAlignment="1">
      <alignment horizontal="center" vertical="center" wrapText="1"/>
    </xf>
    <xf numFmtId="0" fontId="8" fillId="0" borderId="5" xfId="2" applyFont="1" applyBorder="1" applyAlignment="1">
      <alignment horizontal="left" vertical="center"/>
    </xf>
    <xf numFmtId="0" fontId="8" fillId="0" borderId="19" xfId="2" applyFont="1" applyBorder="1" applyAlignment="1">
      <alignment horizontal="left" vertical="center"/>
    </xf>
    <xf numFmtId="0" fontId="8" fillId="0" borderId="4" xfId="2" applyFont="1" applyBorder="1" applyAlignment="1">
      <alignment horizontal="left" vertical="center" wrapText="1"/>
    </xf>
    <xf numFmtId="0" fontId="5" fillId="2" borderId="33" xfId="2" applyFont="1" applyFill="1" applyBorder="1" applyAlignment="1">
      <alignment horizontal="center" vertical="center" wrapText="1"/>
    </xf>
    <xf numFmtId="0" fontId="5" fillId="2" borderId="34" xfId="2" applyFont="1" applyFill="1" applyBorder="1" applyAlignment="1">
      <alignment horizontal="center" vertical="center" wrapText="1"/>
    </xf>
    <xf numFmtId="0" fontId="5" fillId="2" borderId="26" xfId="2" applyFont="1" applyFill="1" applyBorder="1" applyAlignment="1">
      <alignment horizontal="center" vertical="center" wrapText="1"/>
    </xf>
    <xf numFmtId="0" fontId="5" fillId="0" borderId="5" xfId="2" applyFont="1" applyBorder="1" applyAlignment="1">
      <alignment horizontal="left" vertical="center" wrapText="1"/>
    </xf>
    <xf numFmtId="0" fontId="5" fillId="0" borderId="41" xfId="2" applyFont="1" applyBorder="1" applyAlignment="1">
      <alignment horizontal="left" vertical="center" wrapText="1"/>
    </xf>
    <xf numFmtId="0" fontId="5" fillId="0" borderId="19" xfId="2" applyFont="1" applyBorder="1" applyAlignment="1">
      <alignment horizontal="left" vertical="center" wrapText="1"/>
    </xf>
    <xf numFmtId="0" fontId="5" fillId="0" borderId="5" xfId="2" applyFont="1" applyBorder="1" applyAlignment="1">
      <alignment horizontal="left" vertical="center"/>
    </xf>
    <xf numFmtId="0" fontId="5" fillId="0" borderId="41" xfId="2" applyFont="1" applyBorder="1" applyAlignment="1">
      <alignment horizontal="left" vertical="center"/>
    </xf>
    <xf numFmtId="0" fontId="5" fillId="0" borderId="19" xfId="2" applyFont="1" applyBorder="1" applyAlignment="1">
      <alignment horizontal="left" vertical="center"/>
    </xf>
    <xf numFmtId="0" fontId="7" fillId="0" borderId="5" xfId="2" applyFont="1" applyBorder="1" applyAlignment="1">
      <alignment horizontal="left" vertical="center" wrapText="1"/>
    </xf>
    <xf numFmtId="0" fontId="7" fillId="0" borderId="19" xfId="2" applyFont="1" applyBorder="1" applyAlignment="1">
      <alignment horizontal="left" vertical="center" wrapText="1"/>
    </xf>
    <xf numFmtId="0" fontId="20" fillId="4" borderId="35" xfId="2" applyFont="1" applyFill="1" applyBorder="1" applyAlignment="1">
      <alignment horizontal="left" vertical="center" wrapText="1"/>
    </xf>
    <xf numFmtId="0" fontId="20" fillId="4" borderId="18" xfId="2" applyFont="1" applyFill="1" applyBorder="1" applyAlignment="1">
      <alignment horizontal="left" vertical="center" wrapText="1"/>
    </xf>
    <xf numFmtId="0" fontId="20" fillId="4" borderId="23" xfId="2" applyFont="1" applyFill="1" applyBorder="1" applyAlignment="1">
      <alignment horizontal="left" vertical="center" wrapText="1"/>
    </xf>
    <xf numFmtId="0" fontId="8" fillId="0" borderId="4" xfId="2" applyFont="1" applyBorder="1" applyAlignment="1">
      <alignment horizontal="left" vertical="center"/>
    </xf>
    <xf numFmtId="0" fontId="6" fillId="0" borderId="36" xfId="2" applyFont="1" applyBorder="1" applyAlignment="1">
      <alignment horizontal="center" vertical="center"/>
    </xf>
    <xf numFmtId="0" fontId="6" fillId="0" borderId="37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38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39" xfId="2" applyFont="1" applyBorder="1" applyAlignment="1">
      <alignment horizontal="center" vertical="center"/>
    </xf>
    <xf numFmtId="0" fontId="6" fillId="0" borderId="40" xfId="2" applyFont="1" applyBorder="1" applyAlignment="1">
      <alignment horizontal="center" vertical="center"/>
    </xf>
    <xf numFmtId="0" fontId="6" fillId="0" borderId="29" xfId="2" applyFont="1" applyBorder="1" applyAlignment="1">
      <alignment horizontal="center" vertical="center"/>
    </xf>
    <xf numFmtId="0" fontId="6" fillId="0" borderId="31" xfId="2" applyFont="1" applyBorder="1" applyAlignment="1">
      <alignment horizontal="center" vertical="center"/>
    </xf>
    <xf numFmtId="0" fontId="5" fillId="2" borderId="30" xfId="2" applyFont="1" applyFill="1" applyBorder="1" applyAlignment="1">
      <alignment horizontal="left" vertical="center"/>
    </xf>
    <xf numFmtId="0" fontId="5" fillId="2" borderId="22" xfId="2" applyFont="1" applyFill="1" applyBorder="1" applyAlignment="1">
      <alignment horizontal="left" vertical="center"/>
    </xf>
    <xf numFmtId="49" fontId="13" fillId="2" borderId="13" xfId="2" applyNumberFormat="1" applyFont="1" applyFill="1" applyBorder="1" applyAlignment="1">
      <alignment horizontal="center" vertical="center" wrapText="1"/>
    </xf>
    <xf numFmtId="49" fontId="13" fillId="2" borderId="32" xfId="2" applyNumberFormat="1" applyFont="1" applyFill="1" applyBorder="1" applyAlignment="1">
      <alignment horizontal="center" vertical="center" wrapText="1"/>
    </xf>
    <xf numFmtId="49" fontId="13" fillId="2" borderId="22" xfId="2" applyNumberFormat="1" applyFont="1" applyFill="1" applyBorder="1" applyAlignment="1">
      <alignment horizontal="center" vertical="center" wrapText="1"/>
    </xf>
    <xf numFmtId="49" fontId="14" fillId="2" borderId="19" xfId="2" applyNumberFormat="1" applyFont="1" applyFill="1" applyBorder="1" applyAlignment="1">
      <alignment horizontal="center" vertical="center" wrapText="1"/>
    </xf>
    <xf numFmtId="0" fontId="5" fillId="0" borderId="16" xfId="2" applyFont="1" applyBorder="1" applyAlignment="1">
      <alignment horizontal="left" vertical="center"/>
    </xf>
    <xf numFmtId="0" fontId="5" fillId="0" borderId="29" xfId="2" applyFont="1" applyBorder="1" applyAlignment="1">
      <alignment horizontal="left" vertical="center"/>
    </xf>
    <xf numFmtId="0" fontId="5" fillId="0" borderId="30" xfId="2" applyFont="1" applyBorder="1" applyAlignment="1">
      <alignment horizontal="left" vertical="center"/>
    </xf>
    <xf numFmtId="0" fontId="5" fillId="0" borderId="0" xfId="2" applyFont="1" applyAlignment="1">
      <alignment horizontal="center"/>
    </xf>
    <xf numFmtId="0" fontId="12" fillId="0" borderId="0" xfId="2" applyFont="1" applyAlignment="1">
      <alignment horizontal="center"/>
    </xf>
    <xf numFmtId="0" fontId="15" fillId="4" borderId="33" xfId="2" applyFont="1" applyFill="1" applyBorder="1" applyAlignment="1">
      <alignment horizontal="center" vertical="center" wrapText="1"/>
    </xf>
    <xf numFmtId="0" fontId="15" fillId="4" borderId="34" xfId="2" applyFont="1" applyFill="1" applyBorder="1" applyAlignment="1">
      <alignment horizontal="center" vertical="center" wrapText="1"/>
    </xf>
    <xf numFmtId="0" fontId="15" fillId="4" borderId="26" xfId="2" applyFont="1" applyFill="1" applyBorder="1" applyAlignment="1">
      <alignment horizontal="center" vertical="center" wrapText="1"/>
    </xf>
    <xf numFmtId="0" fontId="9" fillId="4" borderId="17" xfId="2" applyFont="1" applyFill="1" applyBorder="1" applyAlignment="1">
      <alignment horizontal="center" vertical="center"/>
    </xf>
    <xf numFmtId="0" fontId="9" fillId="4" borderId="23" xfId="2" applyFont="1" applyFill="1" applyBorder="1" applyAlignment="1">
      <alignment horizontal="center" vertical="center"/>
    </xf>
    <xf numFmtId="3" fontId="7" fillId="4" borderId="17" xfId="2" applyNumberFormat="1" applyFont="1" applyFill="1" applyBorder="1" applyAlignment="1">
      <alignment horizontal="center" vertical="center" wrapText="1"/>
    </xf>
    <xf numFmtId="3" fontId="7" fillId="4" borderId="23" xfId="2" applyNumberFormat="1" applyFont="1" applyFill="1" applyBorder="1" applyAlignment="1">
      <alignment horizontal="center" vertical="center" wrapText="1"/>
    </xf>
    <xf numFmtId="0" fontId="8" fillId="0" borderId="0" xfId="2" applyFont="1" applyAlignment="1">
      <alignment horizontal="right"/>
    </xf>
    <xf numFmtId="49" fontId="8" fillId="5" borderId="13" xfId="0" applyNumberFormat="1" applyFont="1" applyFill="1" applyBorder="1" applyAlignment="1">
      <alignment horizontal="center" vertical="center" wrapText="1"/>
    </xf>
    <xf numFmtId="49" fontId="8" fillId="5" borderId="32" xfId="0" applyNumberFormat="1" applyFont="1" applyFill="1" applyBorder="1" applyAlignment="1">
      <alignment horizontal="center" vertical="center" wrapText="1"/>
    </xf>
    <xf numFmtId="49" fontId="8" fillId="5" borderId="2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1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  <xf numFmtId="0" fontId="5" fillId="5" borderId="5" xfId="0" applyFont="1" applyFill="1" applyBorder="1" applyAlignment="1">
      <alignment horizontal="left" vertical="center" wrapText="1"/>
    </xf>
    <xf numFmtId="0" fontId="5" fillId="5" borderId="41" xfId="0" applyFont="1" applyFill="1" applyBorder="1" applyAlignment="1">
      <alignment horizontal="left" vertical="center" wrapText="1"/>
    </xf>
    <xf numFmtId="0" fontId="5" fillId="5" borderId="19" xfId="0" applyFont="1" applyFill="1" applyBorder="1" applyAlignment="1">
      <alignment horizontal="left" vertical="center" wrapText="1"/>
    </xf>
    <xf numFmtId="0" fontId="5" fillId="4" borderId="35" xfId="0" applyFont="1" applyFill="1" applyBorder="1" applyAlignment="1">
      <alignment horizontal="left" vertical="center" wrapText="1"/>
    </xf>
    <xf numFmtId="0" fontId="5" fillId="4" borderId="18" xfId="0" applyFont="1" applyFill="1" applyBorder="1" applyAlignment="1">
      <alignment horizontal="left" vertical="center" wrapText="1"/>
    </xf>
    <xf numFmtId="0" fontId="5" fillId="4" borderId="2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/>
    </xf>
    <xf numFmtId="0" fontId="5" fillId="2" borderId="41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49" fontId="7" fillId="2" borderId="13" xfId="0" applyNumberFormat="1" applyFont="1" applyFill="1" applyBorder="1" applyAlignment="1">
      <alignment horizontal="center" vertical="center" wrapText="1"/>
    </xf>
    <xf numFmtId="49" fontId="7" fillId="2" borderId="32" xfId="0" applyNumberFormat="1" applyFont="1" applyFill="1" applyBorder="1" applyAlignment="1">
      <alignment horizontal="center" vertical="center" wrapText="1"/>
    </xf>
    <xf numFmtId="49" fontId="7" fillId="2" borderId="19" xfId="0" applyNumberFormat="1" applyFont="1" applyFill="1" applyBorder="1" applyAlignment="1">
      <alignment horizontal="center" vertical="center" wrapText="1"/>
    </xf>
    <xf numFmtId="49" fontId="7" fillId="2" borderId="24" xfId="0" applyNumberFormat="1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left" vertical="center" wrapText="1"/>
    </xf>
    <xf numFmtId="0" fontId="20" fillId="4" borderId="7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49" fontId="8" fillId="2" borderId="13" xfId="0" applyNumberFormat="1" applyFont="1" applyFill="1" applyBorder="1" applyAlignment="1">
      <alignment horizontal="center" vertical="center" wrapText="1"/>
    </xf>
    <xf numFmtId="49" fontId="8" fillId="2" borderId="32" xfId="0" applyNumberFormat="1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top" wrapText="1"/>
    </xf>
    <xf numFmtId="3" fontId="7" fillId="2" borderId="1" xfId="0" applyNumberFormat="1" applyFont="1" applyFill="1" applyBorder="1" applyAlignment="1">
      <alignment horizontal="center" vertical="top" wrapText="1"/>
    </xf>
    <xf numFmtId="49" fontId="8" fillId="2" borderId="19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32" xfId="0" applyNumberFormat="1" applyFont="1" applyBorder="1" applyAlignment="1">
      <alignment horizontal="center" vertical="center" wrapText="1"/>
    </xf>
    <xf numFmtId="3" fontId="8" fillId="0" borderId="22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20" fillId="4" borderId="35" xfId="0" applyFont="1" applyFill="1" applyBorder="1" applyAlignment="1">
      <alignment horizontal="left" vertical="center" wrapText="1"/>
    </xf>
    <xf numFmtId="0" fontId="20" fillId="4" borderId="18" xfId="0" applyFont="1" applyFill="1" applyBorder="1" applyAlignment="1">
      <alignment horizontal="left" vertical="center" wrapText="1"/>
    </xf>
    <xf numFmtId="0" fontId="20" fillId="4" borderId="23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2" borderId="30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49" fontId="13" fillId="2" borderId="13" xfId="0" applyNumberFormat="1" applyFont="1" applyFill="1" applyBorder="1" applyAlignment="1">
      <alignment horizontal="center" vertical="center" wrapText="1"/>
    </xf>
    <xf numFmtId="49" fontId="13" fillId="2" borderId="32" xfId="0" applyNumberFormat="1" applyFont="1" applyFill="1" applyBorder="1" applyAlignment="1">
      <alignment horizontal="center" vertical="center" wrapText="1"/>
    </xf>
    <xf numFmtId="49" fontId="13" fillId="2" borderId="22" xfId="0" applyNumberFormat="1" applyFont="1" applyFill="1" applyBorder="1" applyAlignment="1">
      <alignment horizontal="center" vertical="center" wrapText="1"/>
    </xf>
    <xf numFmtId="49" fontId="14" fillId="2" borderId="19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5" fillId="4" borderId="33" xfId="0" applyFont="1" applyFill="1" applyBorder="1" applyAlignment="1">
      <alignment horizontal="center" vertical="center" wrapText="1"/>
    </xf>
    <xf numFmtId="0" fontId="15" fillId="4" borderId="34" xfId="0" applyFont="1" applyFill="1" applyBorder="1" applyAlignment="1">
      <alignment horizontal="center" vertical="center" wrapText="1"/>
    </xf>
    <xf numFmtId="0" fontId="15" fillId="4" borderId="2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3" fontId="7" fillId="4" borderId="17" xfId="0" applyNumberFormat="1" applyFont="1" applyFill="1" applyBorder="1" applyAlignment="1">
      <alignment horizontal="center" vertical="center" wrapText="1"/>
    </xf>
    <xf numFmtId="3" fontId="7" fillId="4" borderId="2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6" xfId="2" applyFont="1" applyBorder="1" applyAlignment="1">
      <alignment horizontal="left" vertical="center" wrapText="1"/>
    </xf>
    <xf numFmtId="0" fontId="5" fillId="0" borderId="29" xfId="2" applyFont="1" applyBorder="1" applyAlignment="1">
      <alignment horizontal="left" vertical="center" wrapText="1"/>
    </xf>
    <xf numFmtId="0" fontId="5" fillId="0" borderId="30" xfId="2" applyFont="1" applyBorder="1" applyAlignment="1">
      <alignment horizontal="left" vertical="center" wrapText="1"/>
    </xf>
    <xf numFmtId="0" fontId="31" fillId="4" borderId="12" xfId="8" applyFont="1" applyFill="1" applyBorder="1" applyAlignment="1">
      <alignment horizontal="center" vertical="center"/>
    </xf>
    <xf numFmtId="0" fontId="31" fillId="4" borderId="7" xfId="8" applyFont="1" applyFill="1" applyBorder="1" applyAlignment="1">
      <alignment horizontal="center" vertical="center"/>
    </xf>
    <xf numFmtId="0" fontId="5" fillId="4" borderId="56" xfId="8" applyFont="1" applyFill="1" applyBorder="1" applyAlignment="1">
      <alignment horizontal="center" vertical="center" shrinkToFit="1"/>
    </xf>
    <xf numFmtId="0" fontId="5" fillId="4" borderId="43" xfId="8" applyFont="1" applyFill="1" applyBorder="1" applyAlignment="1">
      <alignment horizontal="center" vertical="center" shrinkToFit="1"/>
    </xf>
    <xf numFmtId="3" fontId="5" fillId="4" borderId="4" xfId="0" applyNumberFormat="1" applyFont="1" applyFill="1" applyBorder="1" applyAlignment="1">
      <alignment horizontal="center" vertical="center" wrapText="1"/>
    </xf>
    <xf numFmtId="3" fontId="5" fillId="4" borderId="7" xfId="0" applyNumberFormat="1" applyFont="1" applyFill="1" applyBorder="1" applyAlignment="1">
      <alignment horizontal="center" vertical="center" wrapText="1"/>
    </xf>
    <xf numFmtId="0" fontId="8" fillId="4" borderId="59" xfId="0" applyFont="1" applyFill="1" applyBorder="1" applyAlignment="1">
      <alignment horizontal="center" vertical="center"/>
    </xf>
    <xf numFmtId="0" fontId="8" fillId="4" borderId="53" xfId="0" applyFont="1" applyFill="1" applyBorder="1" applyAlignment="1">
      <alignment horizontal="center" vertical="center"/>
    </xf>
    <xf numFmtId="0" fontId="8" fillId="4" borderId="54" xfId="0" applyFont="1" applyFill="1" applyBorder="1" applyAlignment="1">
      <alignment horizontal="center" vertical="center"/>
    </xf>
    <xf numFmtId="0" fontId="5" fillId="4" borderId="12" xfId="8" applyFont="1" applyFill="1" applyBorder="1" applyAlignment="1">
      <alignment horizontal="center" vertical="center"/>
    </xf>
    <xf numFmtId="0" fontId="5" fillId="4" borderId="7" xfId="8" applyFont="1" applyFill="1" applyBorder="1" applyAlignment="1">
      <alignment horizontal="center" vertical="center"/>
    </xf>
    <xf numFmtId="0" fontId="8" fillId="4" borderId="59" xfId="2" applyFont="1" applyFill="1" applyBorder="1" applyAlignment="1">
      <alignment horizontal="center" vertical="center"/>
    </xf>
    <xf numFmtId="0" fontId="8" fillId="4" borderId="53" xfId="2" applyFont="1" applyFill="1" applyBorder="1" applyAlignment="1">
      <alignment horizontal="center" vertical="center"/>
    </xf>
    <xf numFmtId="0" fontId="8" fillId="4" borderId="54" xfId="2" applyFont="1" applyFill="1" applyBorder="1" applyAlignment="1">
      <alignment horizontal="center" vertical="center"/>
    </xf>
    <xf numFmtId="0" fontId="5" fillId="0" borderId="43" xfId="0" applyFont="1" applyBorder="1" applyAlignment="1">
      <alignment horizontal="right"/>
    </xf>
    <xf numFmtId="0" fontId="8" fillId="4" borderId="63" xfId="0" applyFont="1" applyFill="1" applyBorder="1" applyAlignment="1">
      <alignment horizontal="center" vertical="center" textRotation="90"/>
    </xf>
    <xf numFmtId="0" fontId="8" fillId="4" borderId="49" xfId="0" applyFont="1" applyFill="1" applyBorder="1" applyAlignment="1">
      <alignment horizontal="center" vertical="center" textRotation="90"/>
    </xf>
    <xf numFmtId="0" fontId="8" fillId="4" borderId="12" xfId="0" applyFont="1" applyFill="1" applyBorder="1" applyAlignment="1">
      <alignment horizontal="center" vertical="center" textRotation="90"/>
    </xf>
    <xf numFmtId="0" fontId="5" fillId="4" borderId="20" xfId="0" applyFont="1" applyFill="1" applyBorder="1" applyAlignment="1">
      <alignment horizontal="center" vertical="center"/>
    </xf>
    <xf numFmtId="3" fontId="5" fillId="4" borderId="20" xfId="0" applyNumberFormat="1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5" fillId="4" borderId="59" xfId="8" applyFont="1" applyFill="1" applyBorder="1" applyAlignment="1">
      <alignment horizontal="center" vertical="center" shrinkToFit="1"/>
    </xf>
    <xf numFmtId="0" fontId="5" fillId="4" borderId="53" xfId="8" applyFont="1" applyFill="1" applyBorder="1" applyAlignment="1">
      <alignment horizontal="center" vertical="center" shrinkToFit="1"/>
    </xf>
    <xf numFmtId="0" fontId="5" fillId="4" borderId="52" xfId="8" applyFont="1" applyFill="1" applyBorder="1" applyAlignment="1">
      <alignment horizontal="center" vertical="center" shrinkToFit="1"/>
    </xf>
    <xf numFmtId="0" fontId="5" fillId="4" borderId="38" xfId="8" applyFont="1" applyFill="1" applyBorder="1" applyAlignment="1">
      <alignment horizontal="center" vertical="center" shrinkToFit="1"/>
    </xf>
    <xf numFmtId="0" fontId="5" fillId="4" borderId="0" xfId="8" applyFont="1" applyFill="1" applyAlignment="1">
      <alignment horizontal="center" vertical="center" shrinkToFit="1"/>
    </xf>
    <xf numFmtId="0" fontId="5" fillId="4" borderId="58" xfId="8" applyFont="1" applyFill="1" applyBorder="1" applyAlignment="1">
      <alignment horizontal="center" vertical="center" shrinkToFit="1"/>
    </xf>
    <xf numFmtId="0" fontId="5" fillId="4" borderId="55" xfId="8" applyFont="1" applyFill="1" applyBorder="1" applyAlignment="1">
      <alignment horizontal="center" vertical="center" shrinkToFit="1"/>
    </xf>
    <xf numFmtId="0" fontId="19" fillId="0" borderId="53" xfId="2" applyFont="1" applyBorder="1" applyAlignment="1">
      <alignment horizontal="left"/>
    </xf>
    <xf numFmtId="0" fontId="24" fillId="3" borderId="14" xfId="8" applyFont="1" applyFill="1" applyBorder="1" applyAlignment="1">
      <alignment horizontal="center" vertical="center"/>
    </xf>
    <xf numFmtId="0" fontId="24" fillId="3" borderId="2" xfId="8" applyFont="1" applyFill="1" applyBorder="1" applyAlignment="1">
      <alignment horizontal="center" vertical="center"/>
    </xf>
    <xf numFmtId="0" fontId="24" fillId="3" borderId="11" xfId="8" applyFont="1" applyFill="1" applyBorder="1" applyAlignment="1">
      <alignment horizontal="center" vertical="center"/>
    </xf>
    <xf numFmtId="0" fontId="24" fillId="3" borderId="32" xfId="8" applyFont="1" applyFill="1" applyBorder="1" applyAlignment="1">
      <alignment horizontal="center" vertical="center" wrapText="1"/>
    </xf>
    <xf numFmtId="0" fontId="24" fillId="3" borderId="21" xfId="8" applyFont="1" applyFill="1" applyBorder="1" applyAlignment="1">
      <alignment horizontal="center" vertical="center" wrapText="1"/>
    </xf>
    <xf numFmtId="0" fontId="27" fillId="3" borderId="32" xfId="2" applyFont="1" applyFill="1" applyBorder="1" applyAlignment="1">
      <alignment horizontal="center" vertical="center"/>
    </xf>
    <xf numFmtId="0" fontId="27" fillId="3" borderId="21" xfId="2" applyFont="1" applyFill="1" applyBorder="1" applyAlignment="1">
      <alignment horizontal="center" vertical="center"/>
    </xf>
    <xf numFmtId="165" fontId="24" fillId="3" borderId="32" xfId="8" applyNumberFormat="1" applyFont="1" applyFill="1" applyBorder="1" applyAlignment="1">
      <alignment horizontal="center" vertical="center"/>
    </xf>
    <xf numFmtId="165" fontId="24" fillId="3" borderId="21" xfId="8" applyNumberFormat="1" applyFont="1" applyFill="1" applyBorder="1" applyAlignment="1">
      <alignment horizontal="center" vertical="center"/>
    </xf>
    <xf numFmtId="0" fontId="24" fillId="3" borderId="44" xfId="8" applyFont="1" applyFill="1" applyBorder="1" applyAlignment="1">
      <alignment horizontal="center" vertical="center" wrapText="1"/>
    </xf>
    <xf numFmtId="0" fontId="27" fillId="3" borderId="44" xfId="2" applyFont="1" applyFill="1" applyBorder="1" applyAlignment="1">
      <alignment horizontal="center" vertical="center"/>
    </xf>
    <xf numFmtId="165" fontId="24" fillId="3" borderId="44" xfId="8" applyNumberFormat="1" applyFont="1" applyFill="1" applyBorder="1" applyAlignment="1">
      <alignment horizontal="center" vertical="center"/>
    </xf>
    <xf numFmtId="0" fontId="29" fillId="3" borderId="44" xfId="8" applyFont="1" applyFill="1" applyBorder="1" applyAlignment="1">
      <alignment horizontal="center" vertical="center" wrapText="1"/>
    </xf>
    <xf numFmtId="0" fontId="29" fillId="3" borderId="32" xfId="8" applyFont="1" applyFill="1" applyBorder="1" applyAlignment="1">
      <alignment horizontal="center" vertical="center" wrapText="1"/>
    </xf>
    <xf numFmtId="0" fontId="29" fillId="3" borderId="21" xfId="8" applyFont="1" applyFill="1" applyBorder="1" applyAlignment="1">
      <alignment horizontal="center" vertical="center" wrapText="1"/>
    </xf>
    <xf numFmtId="0" fontId="27" fillId="3" borderId="44" xfId="8" applyFont="1" applyFill="1" applyBorder="1" applyAlignment="1">
      <alignment horizontal="center" vertical="center"/>
    </xf>
    <xf numFmtId="0" fontId="27" fillId="3" borderId="32" xfId="8" applyFont="1" applyFill="1" applyBorder="1" applyAlignment="1">
      <alignment horizontal="center" vertical="center"/>
    </xf>
    <xf numFmtId="0" fontId="27" fillId="3" borderId="21" xfId="8" applyFont="1" applyFill="1" applyBorder="1" applyAlignment="1">
      <alignment horizontal="center" vertical="center"/>
    </xf>
    <xf numFmtId="0" fontId="24" fillId="0" borderId="44" xfId="8" applyFont="1" applyBorder="1" applyAlignment="1">
      <alignment horizontal="center" vertical="center" wrapText="1"/>
    </xf>
    <xf numFmtId="0" fontId="24" fillId="0" borderId="32" xfId="8" applyFont="1" applyBorder="1" applyAlignment="1">
      <alignment horizontal="center" vertical="center" wrapText="1"/>
    </xf>
    <xf numFmtId="0" fontId="24" fillId="0" borderId="21" xfId="8" applyFont="1" applyBorder="1" applyAlignment="1">
      <alignment horizontal="center" vertical="center" wrapText="1"/>
    </xf>
    <xf numFmtId="0" fontId="27" fillId="0" borderId="44" xfId="8" applyFont="1" applyBorder="1" applyAlignment="1">
      <alignment horizontal="center" vertical="center" wrapText="1"/>
    </xf>
    <xf numFmtId="0" fontId="27" fillId="0" borderId="32" xfId="8" applyFont="1" applyBorder="1" applyAlignment="1">
      <alignment horizontal="center" vertical="center" wrapText="1"/>
    </xf>
    <xf numFmtId="0" fontId="27" fillId="0" borderId="21" xfId="8" applyFont="1" applyBorder="1" applyAlignment="1">
      <alignment horizontal="center" vertical="center" wrapText="1"/>
    </xf>
    <xf numFmtId="0" fontId="24" fillId="0" borderId="32" xfId="8" applyFont="1" applyBorder="1" applyAlignment="1">
      <alignment horizontal="center" vertical="center"/>
    </xf>
    <xf numFmtId="0" fontId="24" fillId="0" borderId="21" xfId="8" applyFont="1" applyBorder="1" applyAlignment="1">
      <alignment horizontal="center" vertical="center"/>
    </xf>
    <xf numFmtId="0" fontId="24" fillId="3" borderId="32" xfId="8" applyFont="1" applyFill="1" applyBorder="1" applyAlignment="1">
      <alignment horizontal="center" vertical="center"/>
    </xf>
    <xf numFmtId="0" fontId="24" fillId="3" borderId="21" xfId="8" applyFont="1" applyFill="1" applyBorder="1" applyAlignment="1">
      <alignment horizontal="center" vertical="center"/>
    </xf>
    <xf numFmtId="0" fontId="24" fillId="3" borderId="44" xfId="8" applyFont="1" applyFill="1" applyBorder="1" applyAlignment="1">
      <alignment horizontal="center" vertical="center"/>
    </xf>
    <xf numFmtId="3" fontId="5" fillId="4" borderId="5" xfId="2" applyNumberFormat="1" applyFont="1" applyFill="1" applyBorder="1" applyAlignment="1">
      <alignment horizontal="center" vertical="center" wrapText="1"/>
    </xf>
    <xf numFmtId="3" fontId="5" fillId="4" borderId="41" xfId="2" applyNumberFormat="1" applyFont="1" applyFill="1" applyBorder="1" applyAlignment="1">
      <alignment horizontal="center" vertical="center" wrapText="1"/>
    </xf>
    <xf numFmtId="3" fontId="5" fillId="4" borderId="19" xfId="2" applyNumberFormat="1" applyFont="1" applyFill="1" applyBorder="1" applyAlignment="1">
      <alignment horizontal="center" vertical="center" wrapText="1"/>
    </xf>
    <xf numFmtId="3" fontId="5" fillId="4" borderId="13" xfId="2" applyNumberFormat="1" applyFont="1" applyFill="1" applyBorder="1" applyAlignment="1">
      <alignment horizontal="center" vertical="center" wrapText="1"/>
    </xf>
    <xf numFmtId="3" fontId="5" fillId="4" borderId="21" xfId="2" applyNumberFormat="1" applyFont="1" applyFill="1" applyBorder="1" applyAlignment="1">
      <alignment horizontal="center" vertical="center" wrapText="1"/>
    </xf>
    <xf numFmtId="3" fontId="7" fillId="4" borderId="13" xfId="2" applyNumberFormat="1" applyFont="1" applyFill="1" applyBorder="1" applyAlignment="1">
      <alignment horizontal="center" vertical="center" wrapText="1"/>
    </xf>
    <xf numFmtId="3" fontId="7" fillId="4" borderId="21" xfId="2" applyNumberFormat="1" applyFont="1" applyFill="1" applyBorder="1" applyAlignment="1">
      <alignment horizontal="center" vertical="center" wrapText="1"/>
    </xf>
    <xf numFmtId="0" fontId="20" fillId="0" borderId="0" xfId="2" applyFont="1" applyAlignment="1">
      <alignment horizontal="center"/>
    </xf>
    <xf numFmtId="0" fontId="5" fillId="0" borderId="43" xfId="2" applyFont="1" applyBorder="1" applyAlignment="1">
      <alignment horizontal="right"/>
    </xf>
    <xf numFmtId="0" fontId="8" fillId="4" borderId="14" xfId="2" applyFont="1" applyFill="1" applyBorder="1" applyAlignment="1">
      <alignment horizontal="center" vertical="center" textRotation="90"/>
    </xf>
    <xf numFmtId="0" fontId="8" fillId="4" borderId="2" xfId="2" applyFont="1" applyFill="1" applyBorder="1" applyAlignment="1">
      <alignment horizontal="center" vertical="center" textRotation="90"/>
    </xf>
    <xf numFmtId="0" fontId="8" fillId="4" borderId="11" xfId="2" applyFont="1" applyFill="1" applyBorder="1" applyAlignment="1">
      <alignment horizontal="center" vertical="center" textRotation="90"/>
    </xf>
    <xf numFmtId="0" fontId="5" fillId="4" borderId="28" xfId="2" applyFont="1" applyFill="1" applyBorder="1" applyAlignment="1">
      <alignment horizontal="center" vertical="center"/>
    </xf>
    <xf numFmtId="0" fontId="5" fillId="4" borderId="34" xfId="2" applyFont="1" applyFill="1" applyBorder="1" applyAlignment="1">
      <alignment horizontal="center" vertical="center"/>
    </xf>
    <xf numFmtId="0" fontId="5" fillId="4" borderId="25" xfId="2" applyFont="1" applyFill="1" applyBorder="1" applyAlignment="1">
      <alignment horizontal="center" vertical="center"/>
    </xf>
    <xf numFmtId="3" fontId="5" fillId="4" borderId="28" xfId="2" applyNumberFormat="1" applyFont="1" applyFill="1" applyBorder="1" applyAlignment="1">
      <alignment horizontal="center" vertical="center" wrapText="1"/>
    </xf>
    <xf numFmtId="3" fontId="5" fillId="4" borderId="34" xfId="2" applyNumberFormat="1" applyFont="1" applyFill="1" applyBorder="1" applyAlignment="1">
      <alignment horizontal="center" vertical="center" wrapText="1"/>
    </xf>
    <xf numFmtId="3" fontId="5" fillId="4" borderId="25" xfId="2" applyNumberFormat="1" applyFont="1" applyFill="1" applyBorder="1" applyAlignment="1">
      <alignment horizontal="center" vertical="center" wrapText="1"/>
    </xf>
    <xf numFmtId="0" fontId="5" fillId="4" borderId="44" xfId="2" applyFont="1" applyFill="1" applyBorder="1" applyAlignment="1">
      <alignment horizontal="center" vertical="center"/>
    </xf>
    <xf numFmtId="0" fontId="5" fillId="4" borderId="32" xfId="2" applyFont="1" applyFill="1" applyBorder="1" applyAlignment="1">
      <alignment horizontal="center" vertical="center"/>
    </xf>
    <xf numFmtId="0" fontId="5" fillId="4" borderId="21" xfId="2" applyFont="1" applyFill="1" applyBorder="1" applyAlignment="1">
      <alignment horizontal="center" vertical="center"/>
    </xf>
    <xf numFmtId="0" fontId="5" fillId="4" borderId="61" xfId="2" applyFont="1" applyFill="1" applyBorder="1" applyAlignment="1">
      <alignment horizontal="center" vertical="center"/>
    </xf>
    <xf numFmtId="0" fontId="5" fillId="4" borderId="62" xfId="2" applyFont="1" applyFill="1" applyBorder="1" applyAlignment="1">
      <alignment horizontal="center" vertical="center"/>
    </xf>
    <xf numFmtId="0" fontId="5" fillId="4" borderId="27" xfId="2" applyFont="1" applyFill="1" applyBorder="1" applyAlignment="1">
      <alignment horizontal="center" vertical="center"/>
    </xf>
    <xf numFmtId="0" fontId="5" fillId="4" borderId="13" xfId="2" applyFont="1" applyFill="1" applyBorder="1" applyAlignment="1">
      <alignment horizontal="center" vertical="center"/>
    </xf>
    <xf numFmtId="0" fontId="7" fillId="4" borderId="13" xfId="2" applyFont="1" applyFill="1" applyBorder="1" applyAlignment="1">
      <alignment horizontal="center" vertical="center"/>
    </xf>
    <xf numFmtId="0" fontId="7" fillId="4" borderId="32" xfId="2" applyFont="1" applyFill="1" applyBorder="1" applyAlignment="1">
      <alignment horizontal="center" vertical="center"/>
    </xf>
    <xf numFmtId="0" fontId="7" fillId="4" borderId="21" xfId="2" applyFont="1" applyFill="1" applyBorder="1" applyAlignment="1">
      <alignment horizontal="center" vertical="center"/>
    </xf>
    <xf numFmtId="0" fontId="23" fillId="4" borderId="59" xfId="8" applyFont="1" applyFill="1" applyBorder="1" applyAlignment="1">
      <alignment horizontal="center" vertical="center" shrinkToFit="1"/>
    </xf>
    <xf numFmtId="0" fontId="23" fillId="4" borderId="53" xfId="8" applyFont="1" applyFill="1" applyBorder="1" applyAlignment="1">
      <alignment horizontal="center" vertical="center" shrinkToFit="1"/>
    </xf>
    <xf numFmtId="0" fontId="23" fillId="4" borderId="52" xfId="8" applyFont="1" applyFill="1" applyBorder="1" applyAlignment="1">
      <alignment horizontal="center" vertical="center" shrinkToFit="1"/>
    </xf>
    <xf numFmtId="0" fontId="23" fillId="4" borderId="38" xfId="8" applyFont="1" applyFill="1" applyBorder="1" applyAlignment="1">
      <alignment horizontal="center" vertical="center" shrinkToFit="1"/>
    </xf>
    <xf numFmtId="0" fontId="23" fillId="4" borderId="0" xfId="8" applyFont="1" applyFill="1" applyAlignment="1">
      <alignment horizontal="center" vertical="center" shrinkToFit="1"/>
    </xf>
    <xf numFmtId="0" fontId="23" fillId="4" borderId="58" xfId="8" applyFont="1" applyFill="1" applyBorder="1" applyAlignment="1">
      <alignment horizontal="center" vertical="center" shrinkToFit="1"/>
    </xf>
    <xf numFmtId="0" fontId="23" fillId="4" borderId="56" xfId="8" applyFont="1" applyFill="1" applyBorder="1" applyAlignment="1">
      <alignment horizontal="center" vertical="center" shrinkToFit="1"/>
    </xf>
    <xf numFmtId="0" fontId="23" fillId="4" borderId="43" xfId="8" applyFont="1" applyFill="1" applyBorder="1" applyAlignment="1">
      <alignment horizontal="center" vertical="center" shrinkToFit="1"/>
    </xf>
    <xf numFmtId="0" fontId="23" fillId="4" borderId="55" xfId="8" applyFont="1" applyFill="1" applyBorder="1" applyAlignment="1">
      <alignment horizontal="center" vertical="center" shrinkToFit="1"/>
    </xf>
    <xf numFmtId="0" fontId="24" fillId="0" borderId="14" xfId="8" applyFont="1" applyBorder="1" applyAlignment="1">
      <alignment horizontal="center" vertical="center"/>
    </xf>
    <xf numFmtId="0" fontId="24" fillId="0" borderId="2" xfId="8" applyFont="1" applyBorder="1" applyAlignment="1">
      <alignment horizontal="center" vertical="center"/>
    </xf>
    <xf numFmtId="0" fontId="24" fillId="0" borderId="11" xfId="8" applyFont="1" applyBorder="1" applyAlignment="1">
      <alignment horizontal="center" vertical="center"/>
    </xf>
    <xf numFmtId="0" fontId="27" fillId="0" borderId="44" xfId="8" applyFont="1" applyBorder="1" applyAlignment="1">
      <alignment horizontal="center" vertical="center"/>
    </xf>
    <xf numFmtId="0" fontId="27" fillId="0" borderId="32" xfId="8" applyFont="1" applyBorder="1" applyAlignment="1">
      <alignment horizontal="center" vertical="center"/>
    </xf>
    <xf numFmtId="0" fontId="27" fillId="0" borderId="21" xfId="8" applyFont="1" applyBorder="1" applyAlignment="1">
      <alignment horizontal="center" vertical="center"/>
    </xf>
    <xf numFmtId="0" fontId="27" fillId="0" borderId="44" xfId="2" applyFont="1" applyBorder="1" applyAlignment="1">
      <alignment horizontal="center" vertical="center"/>
    </xf>
    <xf numFmtId="0" fontId="27" fillId="0" borderId="32" xfId="2" applyFont="1" applyBorder="1" applyAlignment="1">
      <alignment horizontal="center" vertical="center"/>
    </xf>
    <xf numFmtId="0" fontId="27" fillId="0" borderId="21" xfId="2" applyFont="1" applyBorder="1" applyAlignment="1">
      <alignment horizontal="center" vertical="center"/>
    </xf>
    <xf numFmtId="0" fontId="24" fillId="0" borderId="44" xfId="8" applyFont="1" applyBorder="1" applyAlignment="1">
      <alignment horizontal="center" vertical="center"/>
    </xf>
    <xf numFmtId="3" fontId="5" fillId="4" borderId="26" xfId="2" applyNumberFormat="1" applyFont="1" applyFill="1" applyBorder="1" applyAlignment="1">
      <alignment horizontal="center" vertical="center" wrapText="1"/>
    </xf>
    <xf numFmtId="0" fontId="20" fillId="4" borderId="13" xfId="2" applyFont="1" applyFill="1" applyBorder="1" applyAlignment="1">
      <alignment horizontal="center" vertical="center"/>
    </xf>
    <xf numFmtId="0" fontId="20" fillId="4" borderId="21" xfId="2" applyFont="1" applyFill="1" applyBorder="1" applyAlignment="1">
      <alignment horizontal="center" vertical="center"/>
    </xf>
    <xf numFmtId="3" fontId="5" fillId="4" borderId="57" xfId="2" applyNumberFormat="1" applyFont="1" applyFill="1" applyBorder="1" applyAlignment="1">
      <alignment horizontal="center" vertical="center" wrapText="1"/>
    </xf>
    <xf numFmtId="16" fontId="5" fillId="4" borderId="12" xfId="8" applyNumberFormat="1" applyFont="1" applyFill="1" applyBorder="1" applyAlignment="1">
      <alignment horizontal="center" vertical="center"/>
    </xf>
    <xf numFmtId="16" fontId="5" fillId="4" borderId="7" xfId="8" applyNumberFormat="1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16" fontId="5" fillId="4" borderId="50" xfId="8" applyNumberFormat="1" applyFont="1" applyFill="1" applyBorder="1" applyAlignment="1">
      <alignment horizontal="center" vertical="center"/>
    </xf>
    <xf numFmtId="16" fontId="5" fillId="4" borderId="51" xfId="8" applyNumberFormat="1" applyFont="1" applyFill="1" applyBorder="1" applyAlignment="1">
      <alignment horizontal="center" vertical="center"/>
    </xf>
    <xf numFmtId="16" fontId="5" fillId="4" borderId="48" xfId="8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</cellXfs>
  <cellStyles count="9">
    <cellStyle name="Normál" xfId="0" builtinId="0"/>
    <cellStyle name="Normál 2" xfId="1" xr:uid="{00000000-0005-0000-0000-000001000000}"/>
    <cellStyle name="Normál 2 2" xfId="2" xr:uid="{00000000-0005-0000-0000-000002000000}"/>
    <cellStyle name="Normál 2 3" xfId="3" xr:uid="{00000000-0005-0000-0000-000003000000}"/>
    <cellStyle name="Normál 2 3 2" xfId="4" xr:uid="{00000000-0005-0000-0000-000004000000}"/>
    <cellStyle name="Normál 2 3_-1" xfId="5" xr:uid="{00000000-0005-0000-0000-000005000000}"/>
    <cellStyle name="Normál 3" xfId="6" xr:uid="{00000000-0005-0000-0000-000006000000}"/>
    <cellStyle name="Normál 3 2" xfId="7" xr:uid="{00000000-0005-0000-0000-000007000000}"/>
    <cellStyle name="Normál_09eloi" xfId="8" xr:uid="{9DE5DA11-D901-4A93-B52F-7D05D4FDF1A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21\16_SZEPTEMBER_10\El&#337;terjeszt&#233;sek\06_2021.%20&#233;vi%20k&#246;lts&#233;gvet&#233;s%20m&#243;dos&#237;t&#225;s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</sheetNames>
    <sheetDataSet>
      <sheetData sheetId="0"/>
      <sheetData sheetId="1">
        <row r="16">
          <cell r="G16">
            <v>0</v>
          </cell>
        </row>
        <row r="17">
          <cell r="G17">
            <v>0</v>
          </cell>
        </row>
        <row r="19">
          <cell r="G19">
            <v>0</v>
          </cell>
        </row>
        <row r="20">
          <cell r="G20">
            <v>0</v>
          </cell>
        </row>
        <row r="24">
          <cell r="G24">
            <v>0</v>
          </cell>
        </row>
        <row r="25">
          <cell r="G25">
            <v>0</v>
          </cell>
        </row>
        <row r="28">
          <cell r="G28">
            <v>0</v>
          </cell>
        </row>
        <row r="29">
          <cell r="G29">
            <v>0</v>
          </cell>
        </row>
      </sheetData>
      <sheetData sheetId="2">
        <row r="16">
          <cell r="G16">
            <v>0</v>
          </cell>
        </row>
        <row r="17">
          <cell r="G17">
            <v>0</v>
          </cell>
        </row>
        <row r="19">
          <cell r="G19">
            <v>0</v>
          </cell>
        </row>
        <row r="20">
          <cell r="G20">
            <v>0</v>
          </cell>
        </row>
        <row r="24">
          <cell r="G24">
            <v>0</v>
          </cell>
        </row>
        <row r="25">
          <cell r="G25">
            <v>0</v>
          </cell>
        </row>
        <row r="28">
          <cell r="G28">
            <v>0</v>
          </cell>
        </row>
        <row r="29">
          <cell r="G29">
            <v>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80480-9577-4673-B64F-00D4ADEF02C1}">
  <sheetPr>
    <tabColor theme="7" tint="0.59999389629810485"/>
  </sheetPr>
  <dimension ref="A1:V74"/>
  <sheetViews>
    <sheetView zoomScale="95" zoomScaleNormal="95" workbookViewId="0">
      <selection activeCell="S8" sqref="S8"/>
    </sheetView>
  </sheetViews>
  <sheetFormatPr defaultColWidth="9.109375" defaultRowHeight="13.2" x14ac:dyDescent="0.25"/>
  <cols>
    <col min="1" max="1" width="5.5546875" style="43" customWidth="1"/>
    <col min="2" max="2" width="4.33203125" style="43" customWidth="1"/>
    <col min="3" max="3" width="3.6640625" style="29" customWidth="1"/>
    <col min="4" max="4" width="45.6640625" style="29" customWidth="1"/>
    <col min="5" max="8" width="14.6640625" style="44" customWidth="1"/>
    <col min="9" max="9" width="6.5546875" style="45" customWidth="1"/>
    <col min="10" max="10" width="4.33203125" style="45" customWidth="1"/>
    <col min="11" max="11" width="3.6640625" style="45" customWidth="1"/>
    <col min="12" max="12" width="45.6640625" style="29" customWidth="1"/>
    <col min="13" max="15" width="14.6640625" style="29" customWidth="1"/>
    <col min="16" max="16" width="14.6640625" style="44" customWidth="1"/>
    <col min="17" max="16384" width="9.109375" style="29"/>
  </cols>
  <sheetData>
    <row r="1" spans="1:22" ht="13.8" x14ac:dyDescent="0.25">
      <c r="L1" s="434" t="s">
        <v>238</v>
      </c>
      <c r="M1" s="434"/>
      <c r="N1" s="434"/>
      <c r="O1" s="434"/>
      <c r="P1" s="434"/>
      <c r="R1" s="28"/>
      <c r="S1" s="28"/>
      <c r="T1" s="28"/>
      <c r="U1" s="28"/>
      <c r="V1" s="28"/>
    </row>
    <row r="2" spans="1:22" ht="13.8" x14ac:dyDescent="0.25">
      <c r="L2" s="434" t="s">
        <v>94</v>
      </c>
      <c r="M2" s="434"/>
      <c r="N2" s="434"/>
      <c r="O2" s="434"/>
      <c r="P2" s="434"/>
      <c r="Q2" s="28"/>
      <c r="R2" s="28"/>
      <c r="S2" s="28"/>
      <c r="T2" s="28"/>
      <c r="U2" s="28"/>
      <c r="V2" s="28"/>
    </row>
    <row r="3" spans="1:22" ht="13.8" x14ac:dyDescent="0.25">
      <c r="L3" s="30"/>
      <c r="M3" s="30"/>
      <c r="N3" s="30"/>
      <c r="O3" s="30"/>
      <c r="P3" s="30"/>
      <c r="Q3" s="28"/>
      <c r="R3" s="28"/>
      <c r="S3" s="28"/>
      <c r="T3" s="28"/>
      <c r="U3" s="28"/>
      <c r="V3" s="28"/>
    </row>
    <row r="4" spans="1:22" ht="15.9" customHeight="1" x14ac:dyDescent="0.3">
      <c r="A4" s="425" t="s">
        <v>248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29" t="s">
        <v>29</v>
      </c>
    </row>
    <row r="5" spans="1:22" ht="15.9" customHeight="1" x14ac:dyDescent="0.3">
      <c r="A5" s="425" t="s">
        <v>90</v>
      </c>
      <c r="B5" s="425"/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</row>
    <row r="6" spans="1:22" ht="15.9" customHeight="1" x14ac:dyDescent="0.3">
      <c r="A6" s="425" t="s">
        <v>40</v>
      </c>
      <c r="B6" s="425"/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</row>
    <row r="7" spans="1:22" ht="15.9" customHeight="1" x14ac:dyDescent="0.3">
      <c r="A7" s="425" t="s">
        <v>97</v>
      </c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</row>
    <row r="8" spans="1:22" ht="15.9" customHeight="1" x14ac:dyDescent="0.3">
      <c r="A8" s="425" t="s">
        <v>243</v>
      </c>
      <c r="B8" s="425"/>
      <c r="C8" s="425"/>
      <c r="D8" s="425"/>
      <c r="E8" s="425"/>
      <c r="F8" s="425"/>
      <c r="G8" s="425"/>
      <c r="H8" s="425"/>
      <c r="I8" s="425"/>
      <c r="J8" s="425"/>
      <c r="K8" s="425"/>
      <c r="L8" s="425"/>
      <c r="M8" s="425"/>
      <c r="N8" s="425"/>
      <c r="O8" s="425"/>
      <c r="P8" s="425"/>
    </row>
    <row r="9" spans="1:22" ht="15.9" customHeight="1" thickBot="1" x14ac:dyDescent="0.4">
      <c r="D9" s="426"/>
      <c r="E9" s="426"/>
      <c r="F9" s="426"/>
      <c r="G9" s="426"/>
      <c r="H9" s="426"/>
      <c r="I9" s="426"/>
      <c r="J9" s="426"/>
      <c r="K9" s="426"/>
      <c r="L9" s="426"/>
      <c r="M9" s="46"/>
      <c r="N9" s="46"/>
      <c r="O9" s="46"/>
      <c r="P9" s="47" t="s">
        <v>93</v>
      </c>
    </row>
    <row r="10" spans="1:22" s="48" customFormat="1" ht="21.9" customHeight="1" x14ac:dyDescent="0.25">
      <c r="A10" s="427" t="s">
        <v>38</v>
      </c>
      <c r="B10" s="428"/>
      <c r="C10" s="428"/>
      <c r="D10" s="428"/>
      <c r="E10" s="428"/>
      <c r="F10" s="265"/>
      <c r="G10" s="265"/>
      <c r="H10" s="265"/>
      <c r="I10" s="427" t="s">
        <v>39</v>
      </c>
      <c r="J10" s="428"/>
      <c r="K10" s="428"/>
      <c r="L10" s="428"/>
      <c r="M10" s="428"/>
      <c r="N10" s="428"/>
      <c r="O10" s="428"/>
      <c r="P10" s="429"/>
    </row>
    <row r="11" spans="1:22" s="48" customFormat="1" ht="41.25" customHeight="1" thickBot="1" x14ac:dyDescent="0.3">
      <c r="A11" s="266" t="s">
        <v>78</v>
      </c>
      <c r="B11" s="267" t="s">
        <v>79</v>
      </c>
      <c r="C11" s="430"/>
      <c r="D11" s="431"/>
      <c r="E11" s="243" t="s">
        <v>28</v>
      </c>
      <c r="F11" s="273" t="s">
        <v>89</v>
      </c>
      <c r="G11" s="273" t="s">
        <v>88</v>
      </c>
      <c r="H11" s="273" t="s">
        <v>89</v>
      </c>
      <c r="I11" s="266" t="s">
        <v>78</v>
      </c>
      <c r="J11" s="267" t="s">
        <v>79</v>
      </c>
      <c r="K11" s="432"/>
      <c r="L11" s="433"/>
      <c r="M11" s="243" t="s">
        <v>28</v>
      </c>
      <c r="N11" s="273" t="s">
        <v>89</v>
      </c>
      <c r="O11" s="273" t="s">
        <v>88</v>
      </c>
      <c r="P11" s="275" t="s">
        <v>89</v>
      </c>
    </row>
    <row r="12" spans="1:22" s="49" customFormat="1" ht="18" customHeight="1" x14ac:dyDescent="0.25">
      <c r="A12" s="392" t="s">
        <v>37</v>
      </c>
      <c r="B12" s="393"/>
      <c r="C12" s="393"/>
      <c r="D12" s="393"/>
      <c r="E12" s="393"/>
      <c r="F12" s="393"/>
      <c r="G12" s="393"/>
      <c r="H12" s="393"/>
      <c r="I12" s="393"/>
      <c r="J12" s="393"/>
      <c r="K12" s="393"/>
      <c r="L12" s="393"/>
      <c r="M12" s="393"/>
      <c r="N12" s="393"/>
      <c r="O12" s="393"/>
      <c r="P12" s="394"/>
    </row>
    <row r="13" spans="1:22" s="55" customFormat="1" ht="18" customHeight="1" x14ac:dyDescent="0.25">
      <c r="A13" s="50" t="s">
        <v>0</v>
      </c>
      <c r="B13" s="395" t="s">
        <v>36</v>
      </c>
      <c r="C13" s="396"/>
      <c r="D13" s="397"/>
      <c r="E13" s="51">
        <f>E14+E18+E22+E26</f>
        <v>864055306</v>
      </c>
      <c r="F13" s="51">
        <f>F14+F18+F22+F26</f>
        <v>1128409988</v>
      </c>
      <c r="G13" s="51">
        <f>G14+G18+G22+G26</f>
        <v>87098324</v>
      </c>
      <c r="H13" s="51">
        <f>H14+H18+H22+H26</f>
        <v>1215508312</v>
      </c>
      <c r="I13" s="52" t="s">
        <v>0</v>
      </c>
      <c r="J13" s="422" t="s">
        <v>17</v>
      </c>
      <c r="K13" s="423"/>
      <c r="L13" s="424"/>
      <c r="M13" s="53">
        <f>M14+M18+M22+M30+M26</f>
        <v>1235298677</v>
      </c>
      <c r="N13" s="53">
        <f>N14+N18+N22+N30+N26</f>
        <v>1692314158</v>
      </c>
      <c r="O13" s="53">
        <f>O14+O18+O22+O30+O26</f>
        <v>54875705</v>
      </c>
      <c r="P13" s="54">
        <f>P14+P18+P22+P30+P26</f>
        <v>1747189863</v>
      </c>
    </row>
    <row r="14" spans="1:22" s="49" customFormat="1" ht="18" customHeight="1" x14ac:dyDescent="0.25">
      <c r="A14" s="56"/>
      <c r="B14" s="381" t="s">
        <v>51</v>
      </c>
      <c r="C14" s="401" t="s">
        <v>43</v>
      </c>
      <c r="D14" s="402"/>
      <c r="E14" s="51">
        <f>E15+E16+E17</f>
        <v>802915254</v>
      </c>
      <c r="F14" s="51">
        <f>F15+F16+F17</f>
        <v>1030964156</v>
      </c>
      <c r="G14" s="51">
        <f>G15+G16+G17</f>
        <v>67615372</v>
      </c>
      <c r="H14" s="51">
        <f>SUM(H15:H17)</f>
        <v>1098579528</v>
      </c>
      <c r="I14" s="57"/>
      <c r="J14" s="386" t="s">
        <v>46</v>
      </c>
      <c r="K14" s="406" t="s">
        <v>13</v>
      </c>
      <c r="L14" s="406"/>
      <c r="M14" s="51">
        <f>M15+M16+M17</f>
        <v>360945916</v>
      </c>
      <c r="N14" s="51">
        <f>N15+N16+N17</f>
        <v>571967602</v>
      </c>
      <c r="O14" s="51">
        <f>O15+O16+O17</f>
        <v>31987437</v>
      </c>
      <c r="P14" s="58">
        <f>SUM(P15:P17)</f>
        <v>603955039</v>
      </c>
    </row>
    <row r="15" spans="1:22" s="49" customFormat="1" ht="18" customHeight="1" x14ac:dyDescent="0.25">
      <c r="A15" s="56"/>
      <c r="B15" s="382"/>
      <c r="C15" s="59" t="s">
        <v>1</v>
      </c>
      <c r="D15" s="60" t="s">
        <v>7</v>
      </c>
      <c r="E15" s="61">
        <f>'2.'!E15+'3.'!E15</f>
        <v>802915254</v>
      </c>
      <c r="F15" s="61">
        <f>'2.'!F15+'3.'!F15</f>
        <v>1030964156</v>
      </c>
      <c r="G15" s="61">
        <f>'2.'!G15+'3.'!G15</f>
        <v>67615372</v>
      </c>
      <c r="H15" s="62">
        <f>F15+G15</f>
        <v>1098579528</v>
      </c>
      <c r="I15" s="57"/>
      <c r="J15" s="387"/>
      <c r="K15" s="59" t="s">
        <v>1</v>
      </c>
      <c r="L15" s="60" t="s">
        <v>7</v>
      </c>
      <c r="M15" s="61">
        <f>'2.'!M15+'3.'!M15</f>
        <v>360845916</v>
      </c>
      <c r="N15" s="61">
        <f>'2.'!N15+'3.'!N15</f>
        <v>569177696</v>
      </c>
      <c r="O15" s="61">
        <f>'2.'!O15+'3.'!O15</f>
        <v>31987437</v>
      </c>
      <c r="P15" s="62">
        <f>+O15+N15</f>
        <v>601165133</v>
      </c>
    </row>
    <row r="16" spans="1:22" s="49" customFormat="1" ht="18" customHeight="1" x14ac:dyDescent="0.25">
      <c r="A16" s="56"/>
      <c r="B16" s="382"/>
      <c r="C16" s="59" t="s">
        <v>2</v>
      </c>
      <c r="D16" s="60" t="s">
        <v>9</v>
      </c>
      <c r="E16" s="61">
        <f>'2.'!E16+'3.'!E16</f>
        <v>0</v>
      </c>
      <c r="F16" s="61">
        <f>'2.'!F16+'3.'!F16</f>
        <v>0</v>
      </c>
      <c r="G16" s="61">
        <f>'[1]2.'!G16+'[1]3.'!G16</f>
        <v>0</v>
      </c>
      <c r="H16" s="62">
        <f>F16+G16</f>
        <v>0</v>
      </c>
      <c r="I16" s="57"/>
      <c r="J16" s="387"/>
      <c r="K16" s="59" t="s">
        <v>2</v>
      </c>
      <c r="L16" s="60" t="s">
        <v>9</v>
      </c>
      <c r="M16" s="61">
        <f>'2.'!M16+'3.'!M16</f>
        <v>100000</v>
      </c>
      <c r="N16" s="61">
        <f>'2.'!N16+'3.'!N16</f>
        <v>2789906</v>
      </c>
      <c r="O16" s="61">
        <f>'2.'!O16+'3.'!O16</f>
        <v>0</v>
      </c>
      <c r="P16" s="62">
        <f t="shared" ref="P16:P39" si="0">+O16+N16</f>
        <v>2789906</v>
      </c>
    </row>
    <row r="17" spans="1:18" s="49" customFormat="1" ht="18" customHeight="1" x14ac:dyDescent="0.25">
      <c r="A17" s="56"/>
      <c r="B17" s="383"/>
      <c r="C17" s="59" t="s">
        <v>4</v>
      </c>
      <c r="D17" s="60" t="s">
        <v>8</v>
      </c>
      <c r="E17" s="61">
        <f>'2.'!E17+'3.'!E17</f>
        <v>0</v>
      </c>
      <c r="F17" s="61">
        <f>'2.'!F17+'3.'!F17</f>
        <v>0</v>
      </c>
      <c r="G17" s="61">
        <f>'[1]2.'!G17+'[1]3.'!G17</f>
        <v>0</v>
      </c>
      <c r="H17" s="62">
        <f>F17+G17</f>
        <v>0</v>
      </c>
      <c r="I17" s="57"/>
      <c r="J17" s="388"/>
      <c r="K17" s="59" t="s">
        <v>4</v>
      </c>
      <c r="L17" s="60" t="s">
        <v>8</v>
      </c>
      <c r="M17" s="61">
        <f>'2.'!M17+'3.'!M17</f>
        <v>0</v>
      </c>
      <c r="N17" s="61">
        <f>'2.'!N17+'3.'!N17</f>
        <v>0</v>
      </c>
      <c r="O17" s="61">
        <f>'2.'!O17+'3.'!O17</f>
        <v>0</v>
      </c>
      <c r="P17" s="62">
        <f t="shared" si="0"/>
        <v>0</v>
      </c>
    </row>
    <row r="18" spans="1:18" s="49" customFormat="1" ht="18" customHeight="1" x14ac:dyDescent="0.25">
      <c r="A18" s="56"/>
      <c r="B18" s="381" t="s">
        <v>64</v>
      </c>
      <c r="C18" s="384" t="s">
        <v>5</v>
      </c>
      <c r="D18" s="385"/>
      <c r="E18" s="51">
        <f>E19+E20+E21</f>
        <v>0</v>
      </c>
      <c r="F18" s="63">
        <f>SUM(F19:F21)</f>
        <v>135000</v>
      </c>
      <c r="G18" s="51">
        <f>G19+G20+G21</f>
        <v>0</v>
      </c>
      <c r="H18" s="64">
        <f>SUM(H19:H21)</f>
        <v>135000</v>
      </c>
      <c r="I18" s="57"/>
      <c r="J18" s="386" t="s">
        <v>47</v>
      </c>
      <c r="K18" s="391" t="s">
        <v>16</v>
      </c>
      <c r="L18" s="391"/>
      <c r="M18" s="51">
        <f>M19+M20+M21</f>
        <v>60109833</v>
      </c>
      <c r="N18" s="51">
        <f>N19+N20+N21</f>
        <v>79244824</v>
      </c>
      <c r="O18" s="51">
        <f>O19+O20+O21</f>
        <v>4171796</v>
      </c>
      <c r="P18" s="64">
        <f>SUM(P19:P21)</f>
        <v>83416620</v>
      </c>
    </row>
    <row r="19" spans="1:18" s="49" customFormat="1" ht="18" customHeight="1" x14ac:dyDescent="0.25">
      <c r="A19" s="56"/>
      <c r="B19" s="382"/>
      <c r="C19" s="59" t="s">
        <v>1</v>
      </c>
      <c r="D19" s="60" t="s">
        <v>7</v>
      </c>
      <c r="E19" s="61">
        <f>'2.'!E19+'3.'!E19</f>
        <v>0</v>
      </c>
      <c r="F19" s="61">
        <f>'2.'!F19+'3.'!F19</f>
        <v>0</v>
      </c>
      <c r="G19" s="61">
        <f>'[1]2.'!G19+'[1]3.'!G19</f>
        <v>0</v>
      </c>
      <c r="H19" s="62">
        <f t="shared" ref="H19:H29" si="1">F19+G19</f>
        <v>0</v>
      </c>
      <c r="I19" s="57"/>
      <c r="J19" s="387"/>
      <c r="K19" s="59" t="s">
        <v>1</v>
      </c>
      <c r="L19" s="60" t="s">
        <v>7</v>
      </c>
      <c r="M19" s="61">
        <f>'2.'!M19+'3.'!M19</f>
        <v>60096833</v>
      </c>
      <c r="N19" s="61">
        <f>'2.'!N19+'3.'!N19</f>
        <v>78131813</v>
      </c>
      <c r="O19" s="61">
        <f>'2.'!O19+'3.'!O19</f>
        <v>4171796</v>
      </c>
      <c r="P19" s="62">
        <f t="shared" si="0"/>
        <v>82303609</v>
      </c>
    </row>
    <row r="20" spans="1:18" s="49" customFormat="1" ht="18" customHeight="1" x14ac:dyDescent="0.25">
      <c r="A20" s="56"/>
      <c r="B20" s="382"/>
      <c r="C20" s="59" t="s">
        <v>2</v>
      </c>
      <c r="D20" s="60" t="s">
        <v>9</v>
      </c>
      <c r="E20" s="61">
        <f>'2.'!E20+'3.'!E20</f>
        <v>0</v>
      </c>
      <c r="F20" s="61">
        <f>'2.'!F20+'3.'!F20</f>
        <v>0</v>
      </c>
      <c r="G20" s="61">
        <f>'[1]2.'!G20+'[1]3.'!G20</f>
        <v>0</v>
      </c>
      <c r="H20" s="62">
        <f t="shared" si="1"/>
        <v>0</v>
      </c>
      <c r="I20" s="57"/>
      <c r="J20" s="387"/>
      <c r="K20" s="59" t="s">
        <v>2</v>
      </c>
      <c r="L20" s="60" t="s">
        <v>9</v>
      </c>
      <c r="M20" s="61">
        <f>'2.'!M20+'3.'!M20</f>
        <v>13000</v>
      </c>
      <c r="N20" s="61">
        <f>'2.'!N20+'3.'!N20</f>
        <v>1113011</v>
      </c>
      <c r="O20" s="61">
        <f>'2.'!O20+'3.'!O20</f>
        <v>0</v>
      </c>
      <c r="P20" s="62">
        <f t="shared" si="0"/>
        <v>1113011</v>
      </c>
    </row>
    <row r="21" spans="1:18" s="49" customFormat="1" ht="18" customHeight="1" x14ac:dyDescent="0.25">
      <c r="A21" s="56"/>
      <c r="B21" s="383"/>
      <c r="C21" s="59" t="s">
        <v>4</v>
      </c>
      <c r="D21" s="60" t="s">
        <v>8</v>
      </c>
      <c r="E21" s="61">
        <f>'2.'!E21+'3.'!E21</f>
        <v>0</v>
      </c>
      <c r="F21" s="61">
        <f>'2.'!F21+'3.'!F21</f>
        <v>135000</v>
      </c>
      <c r="G21" s="61">
        <f>'2.'!G21+'3.'!G21</f>
        <v>0</v>
      </c>
      <c r="H21" s="62">
        <f t="shared" si="1"/>
        <v>135000</v>
      </c>
      <c r="I21" s="57"/>
      <c r="J21" s="388"/>
      <c r="K21" s="59" t="s">
        <v>4</v>
      </c>
      <c r="L21" s="60" t="s">
        <v>8</v>
      </c>
      <c r="M21" s="61">
        <f>'2.'!M21+'3.'!M21</f>
        <v>0</v>
      </c>
      <c r="N21" s="61">
        <f>'2.'!N21+'3.'!N21</f>
        <v>0</v>
      </c>
      <c r="O21" s="61">
        <f>'2.'!O21+'3.'!O21</f>
        <v>0</v>
      </c>
      <c r="P21" s="62">
        <f t="shared" si="0"/>
        <v>0</v>
      </c>
    </row>
    <row r="22" spans="1:18" s="49" customFormat="1" ht="18" customHeight="1" x14ac:dyDescent="0.25">
      <c r="A22" s="56"/>
      <c r="B22" s="381" t="s">
        <v>65</v>
      </c>
      <c r="C22" s="384" t="s">
        <v>27</v>
      </c>
      <c r="D22" s="385"/>
      <c r="E22" s="51">
        <f>E23+E24+E25</f>
        <v>600000</v>
      </c>
      <c r="F22" s="51">
        <f>F23+F24+F25</f>
        <v>10644343</v>
      </c>
      <c r="G22" s="51">
        <f>G23+G24+G25</f>
        <v>45332</v>
      </c>
      <c r="H22" s="64">
        <f>SUM(H23:H25)</f>
        <v>10689675</v>
      </c>
      <c r="I22" s="57"/>
      <c r="J22" s="386" t="s">
        <v>48</v>
      </c>
      <c r="K22" s="391" t="s">
        <v>26</v>
      </c>
      <c r="L22" s="391"/>
      <c r="M22" s="51">
        <f>M23+M24+M25</f>
        <v>755892928</v>
      </c>
      <c r="N22" s="51">
        <f>N23+N24+N25</f>
        <v>767588539</v>
      </c>
      <c r="O22" s="51">
        <f>O23+O24+O25</f>
        <v>-541636</v>
      </c>
      <c r="P22" s="64">
        <f>SUM(P23:P25)</f>
        <v>767046903</v>
      </c>
    </row>
    <row r="23" spans="1:18" s="49" customFormat="1" ht="18" customHeight="1" x14ac:dyDescent="0.25">
      <c r="A23" s="56"/>
      <c r="B23" s="382"/>
      <c r="C23" s="59" t="s">
        <v>1</v>
      </c>
      <c r="D23" s="60" t="s">
        <v>7</v>
      </c>
      <c r="E23" s="61">
        <f>'2.'!E23+'3.'!E23</f>
        <v>600000</v>
      </c>
      <c r="F23" s="61">
        <f>'2.'!F23+'3.'!F23</f>
        <v>10644343</v>
      </c>
      <c r="G23" s="61">
        <f>'2.'!G23+'3.'!G23</f>
        <v>45332</v>
      </c>
      <c r="H23" s="62">
        <f t="shared" si="1"/>
        <v>10689675</v>
      </c>
      <c r="I23" s="57"/>
      <c r="J23" s="387"/>
      <c r="K23" s="59" t="s">
        <v>1</v>
      </c>
      <c r="L23" s="60" t="s">
        <v>7</v>
      </c>
      <c r="M23" s="61">
        <f>'2.'!M23+'3.'!M23</f>
        <v>754738428</v>
      </c>
      <c r="N23" s="61">
        <f>'2.'!N23+'3.'!N23</f>
        <v>764875945</v>
      </c>
      <c r="O23" s="61">
        <f>'2.'!O23+'3.'!O23</f>
        <v>-541636</v>
      </c>
      <c r="P23" s="62">
        <f t="shared" si="0"/>
        <v>764334309</v>
      </c>
    </row>
    <row r="24" spans="1:18" s="49" customFormat="1" ht="18" customHeight="1" x14ac:dyDescent="0.25">
      <c r="A24" s="56"/>
      <c r="B24" s="382"/>
      <c r="C24" s="59" t="s">
        <v>2</v>
      </c>
      <c r="D24" s="60" t="s">
        <v>9</v>
      </c>
      <c r="E24" s="61">
        <f>'2.'!E24+'3.'!E24</f>
        <v>0</v>
      </c>
      <c r="F24" s="61">
        <f>'2.'!F24+'3.'!F24</f>
        <v>0</v>
      </c>
      <c r="G24" s="61">
        <f>'[1]2.'!G24+'[1]3.'!G24</f>
        <v>0</v>
      </c>
      <c r="H24" s="62">
        <f t="shared" si="1"/>
        <v>0</v>
      </c>
      <c r="I24" s="57"/>
      <c r="J24" s="387"/>
      <c r="K24" s="59" t="s">
        <v>2</v>
      </c>
      <c r="L24" s="60" t="s">
        <v>9</v>
      </c>
      <c r="M24" s="61">
        <f>'2.'!M24+'3.'!M24</f>
        <v>1154500</v>
      </c>
      <c r="N24" s="61">
        <f>'2.'!N24+'3.'!N24</f>
        <v>2712594</v>
      </c>
      <c r="O24" s="61">
        <f>'2.'!O24+'3.'!O24</f>
        <v>0</v>
      </c>
      <c r="P24" s="62">
        <f t="shared" si="0"/>
        <v>2712594</v>
      </c>
    </row>
    <row r="25" spans="1:18" s="49" customFormat="1" ht="18" customHeight="1" x14ac:dyDescent="0.25">
      <c r="A25" s="56"/>
      <c r="B25" s="383"/>
      <c r="C25" s="59" t="s">
        <v>4</v>
      </c>
      <c r="D25" s="60" t="s">
        <v>8</v>
      </c>
      <c r="E25" s="61">
        <f>'2.'!E25+'3.'!E25</f>
        <v>0</v>
      </c>
      <c r="F25" s="61">
        <f>'2.'!F25+'3.'!F25</f>
        <v>0</v>
      </c>
      <c r="G25" s="61">
        <f>'[1]2.'!G25+'[1]3.'!G25</f>
        <v>0</v>
      </c>
      <c r="H25" s="62">
        <f t="shared" si="1"/>
        <v>0</v>
      </c>
      <c r="I25" s="57"/>
      <c r="J25" s="388"/>
      <c r="K25" s="59" t="s">
        <v>4</v>
      </c>
      <c r="L25" s="60" t="s">
        <v>8</v>
      </c>
      <c r="M25" s="61">
        <f>'2.'!M25+'3.'!M25</f>
        <v>0</v>
      </c>
      <c r="N25" s="61">
        <f>'2.'!N25+'3.'!N25</f>
        <v>0</v>
      </c>
      <c r="O25" s="61">
        <f>'2.'!O25+'3.'!O25</f>
        <v>0</v>
      </c>
      <c r="P25" s="62">
        <f t="shared" si="0"/>
        <v>0</v>
      </c>
    </row>
    <row r="26" spans="1:18" s="49" customFormat="1" ht="18" customHeight="1" x14ac:dyDescent="0.25">
      <c r="A26" s="56"/>
      <c r="B26" s="381" t="s">
        <v>67</v>
      </c>
      <c r="C26" s="389" t="s">
        <v>42</v>
      </c>
      <c r="D26" s="390"/>
      <c r="E26" s="51">
        <f>E27+E28+E29</f>
        <v>60540052</v>
      </c>
      <c r="F26" s="51">
        <f>F27+F28+F29</f>
        <v>86666489</v>
      </c>
      <c r="G26" s="51">
        <f>G27+G28+G29</f>
        <v>19437620</v>
      </c>
      <c r="H26" s="64">
        <f>SUM(H27:H29)</f>
        <v>106104109</v>
      </c>
      <c r="I26" s="57"/>
      <c r="J26" s="386" t="s">
        <v>49</v>
      </c>
      <c r="K26" s="406" t="s">
        <v>6</v>
      </c>
      <c r="L26" s="406"/>
      <c r="M26" s="51">
        <f>M27+M28+M29</f>
        <v>0</v>
      </c>
      <c r="N26" s="51">
        <f>N27+N28+N29</f>
        <v>0</v>
      </c>
      <c r="O26" s="51">
        <f>O27+O28+O29</f>
        <v>0</v>
      </c>
      <c r="P26" s="65">
        <f>SUM(P27:P29)</f>
        <v>0</v>
      </c>
    </row>
    <row r="27" spans="1:18" s="49" customFormat="1" ht="18" customHeight="1" x14ac:dyDescent="0.25">
      <c r="A27" s="56"/>
      <c r="B27" s="382"/>
      <c r="C27" s="59" t="s">
        <v>1</v>
      </c>
      <c r="D27" s="60" t="s">
        <v>7</v>
      </c>
      <c r="E27" s="61">
        <f>'2.'!E27+'3.'!E27</f>
        <v>60540052</v>
      </c>
      <c r="F27" s="61">
        <f>'2.'!F27+'3.'!F27</f>
        <v>86666489</v>
      </c>
      <c r="G27" s="61">
        <f>'2.'!G27+'3.'!G27</f>
        <v>19437620</v>
      </c>
      <c r="H27" s="62">
        <f t="shared" si="1"/>
        <v>106104109</v>
      </c>
      <c r="I27" s="57"/>
      <c r="J27" s="387"/>
      <c r="K27" s="59" t="s">
        <v>1</v>
      </c>
      <c r="L27" s="60" t="s">
        <v>7</v>
      </c>
      <c r="M27" s="61">
        <f>'2.'!M27+'3.'!M27</f>
        <v>0</v>
      </c>
      <c r="N27" s="61">
        <f>'2.'!N27+'3.'!N27</f>
        <v>0</v>
      </c>
      <c r="O27" s="61">
        <f>'2.'!O27+'3.'!O27</f>
        <v>0</v>
      </c>
      <c r="P27" s="62">
        <f t="shared" si="0"/>
        <v>0</v>
      </c>
    </row>
    <row r="28" spans="1:18" s="49" customFormat="1" ht="18" customHeight="1" x14ac:dyDescent="0.25">
      <c r="A28" s="56"/>
      <c r="B28" s="382"/>
      <c r="C28" s="59" t="s">
        <v>2</v>
      </c>
      <c r="D28" s="60" t="s">
        <v>9</v>
      </c>
      <c r="E28" s="61">
        <f>'2.'!E28+'3.'!E28</f>
        <v>0</v>
      </c>
      <c r="F28" s="61">
        <f>'2.'!F28+'3.'!F28</f>
        <v>0</v>
      </c>
      <c r="G28" s="61">
        <f>'[1]2.'!G28+'[1]3.'!G28</f>
        <v>0</v>
      </c>
      <c r="H28" s="62">
        <f t="shared" si="1"/>
        <v>0</v>
      </c>
      <c r="I28" s="57"/>
      <c r="J28" s="387"/>
      <c r="K28" s="59" t="s">
        <v>2</v>
      </c>
      <c r="L28" s="60" t="s">
        <v>9</v>
      </c>
      <c r="M28" s="61">
        <f>'2.'!M28+'3.'!M28</f>
        <v>0</v>
      </c>
      <c r="N28" s="61">
        <f>'2.'!N28+'3.'!N28</f>
        <v>0</v>
      </c>
      <c r="O28" s="61">
        <f>'2.'!O28+'3.'!O28</f>
        <v>0</v>
      </c>
      <c r="P28" s="62">
        <f t="shared" si="0"/>
        <v>0</v>
      </c>
    </row>
    <row r="29" spans="1:18" s="49" customFormat="1" ht="18" customHeight="1" x14ac:dyDescent="0.25">
      <c r="A29" s="66"/>
      <c r="B29" s="383"/>
      <c r="C29" s="59" t="s">
        <v>4</v>
      </c>
      <c r="D29" s="60" t="s">
        <v>8</v>
      </c>
      <c r="E29" s="61">
        <f>'2.'!E29+'3.'!E29</f>
        <v>0</v>
      </c>
      <c r="F29" s="61">
        <f>'2.'!F29+'3.'!F29</f>
        <v>0</v>
      </c>
      <c r="G29" s="61">
        <f>'[1]2.'!G29+'[1]3.'!G29</f>
        <v>0</v>
      </c>
      <c r="H29" s="62">
        <f t="shared" si="1"/>
        <v>0</v>
      </c>
      <c r="I29" s="57"/>
      <c r="J29" s="388"/>
      <c r="K29" s="59" t="s">
        <v>4</v>
      </c>
      <c r="L29" s="60" t="s">
        <v>8</v>
      </c>
      <c r="M29" s="61">
        <f>'2.'!M29+'3.'!M29</f>
        <v>0</v>
      </c>
      <c r="N29" s="61">
        <f>'2.'!N29+'3.'!N29</f>
        <v>0</v>
      </c>
      <c r="O29" s="61">
        <f>'2.'!O29+'3.'!O29</f>
        <v>0</v>
      </c>
      <c r="P29" s="62">
        <f t="shared" si="0"/>
        <v>0</v>
      </c>
    </row>
    <row r="30" spans="1:18" s="49" customFormat="1" ht="18" customHeight="1" x14ac:dyDescent="0.25">
      <c r="A30" s="407"/>
      <c r="B30" s="408"/>
      <c r="C30" s="408"/>
      <c r="D30" s="408"/>
      <c r="E30" s="408"/>
      <c r="F30" s="408"/>
      <c r="G30" s="408"/>
      <c r="H30" s="409"/>
      <c r="I30" s="57"/>
      <c r="J30" s="386" t="s">
        <v>50</v>
      </c>
      <c r="K30" s="391" t="s">
        <v>10</v>
      </c>
      <c r="L30" s="391"/>
      <c r="M30" s="51">
        <f>M31+M34+M35</f>
        <v>58350000</v>
      </c>
      <c r="N30" s="51">
        <f>N31+N34+N35</f>
        <v>273513193</v>
      </c>
      <c r="O30" s="51">
        <f>O31+O34+O35</f>
        <v>19258108</v>
      </c>
      <c r="P30" s="64">
        <f>P31+P34+P35</f>
        <v>292771301</v>
      </c>
    </row>
    <row r="31" spans="1:18" s="49" customFormat="1" ht="18" customHeight="1" x14ac:dyDescent="0.25">
      <c r="A31" s="410"/>
      <c r="B31" s="411"/>
      <c r="C31" s="411"/>
      <c r="D31" s="411"/>
      <c r="E31" s="411"/>
      <c r="F31" s="411"/>
      <c r="G31" s="411"/>
      <c r="H31" s="412"/>
      <c r="I31" s="57"/>
      <c r="J31" s="387"/>
      <c r="K31" s="59" t="s">
        <v>1</v>
      </c>
      <c r="L31" s="60" t="s">
        <v>7</v>
      </c>
      <c r="M31" s="61">
        <f>'2.'!M31+'3.'!M31</f>
        <v>49350000</v>
      </c>
      <c r="N31" s="61">
        <f>'2.'!N31+'3.'!N31</f>
        <v>266113193</v>
      </c>
      <c r="O31" s="61">
        <f>'2.'!O31+'3.'!O31</f>
        <v>19258108</v>
      </c>
      <c r="P31" s="62">
        <f t="shared" si="0"/>
        <v>285371301</v>
      </c>
    </row>
    <row r="32" spans="1:18" s="49" customFormat="1" ht="18" customHeight="1" x14ac:dyDescent="0.25">
      <c r="A32" s="410"/>
      <c r="B32" s="411"/>
      <c r="C32" s="411"/>
      <c r="D32" s="411"/>
      <c r="E32" s="411"/>
      <c r="F32" s="411"/>
      <c r="G32" s="411"/>
      <c r="H32" s="412"/>
      <c r="I32" s="57"/>
      <c r="J32" s="387"/>
      <c r="K32" s="67" t="s">
        <v>80</v>
      </c>
      <c r="L32" s="68" t="s">
        <v>82</v>
      </c>
      <c r="M32" s="61">
        <f>'2.'!M32+'3.'!M32</f>
        <v>5000000</v>
      </c>
      <c r="N32" s="61">
        <f>'2.'!N32+'3.'!N32</f>
        <v>83790666</v>
      </c>
      <c r="O32" s="61">
        <f>'2.'!O32+'3.'!O32</f>
        <v>19258108</v>
      </c>
      <c r="P32" s="62">
        <f t="shared" si="0"/>
        <v>103048774</v>
      </c>
      <c r="Q32" s="69"/>
      <c r="R32" s="69"/>
    </row>
    <row r="33" spans="1:16" s="49" customFormat="1" ht="18" customHeight="1" x14ac:dyDescent="0.25">
      <c r="A33" s="410"/>
      <c r="B33" s="411"/>
      <c r="C33" s="411"/>
      <c r="D33" s="411"/>
      <c r="E33" s="411"/>
      <c r="F33" s="411"/>
      <c r="G33" s="411"/>
      <c r="H33" s="412"/>
      <c r="I33" s="57"/>
      <c r="J33" s="387"/>
      <c r="K33" s="67" t="s">
        <v>81</v>
      </c>
      <c r="L33" s="68" t="s">
        <v>83</v>
      </c>
      <c r="M33" s="61">
        <f>'2.'!M33+'3.'!M33</f>
        <v>0</v>
      </c>
      <c r="N33" s="61">
        <f>'2.'!N33+'3.'!N33</f>
        <v>48601291</v>
      </c>
      <c r="O33" s="61">
        <f>'2.'!O33+'3.'!O33</f>
        <v>0</v>
      </c>
      <c r="P33" s="62">
        <f t="shared" si="0"/>
        <v>48601291</v>
      </c>
    </row>
    <row r="34" spans="1:16" s="49" customFormat="1" ht="18" customHeight="1" x14ac:dyDescent="0.25">
      <c r="A34" s="410"/>
      <c r="B34" s="411"/>
      <c r="C34" s="411"/>
      <c r="D34" s="411"/>
      <c r="E34" s="411"/>
      <c r="F34" s="411"/>
      <c r="G34" s="411"/>
      <c r="H34" s="412"/>
      <c r="I34" s="57"/>
      <c r="J34" s="387"/>
      <c r="K34" s="59" t="s">
        <v>2</v>
      </c>
      <c r="L34" s="60" t="s">
        <v>9</v>
      </c>
      <c r="M34" s="61">
        <f>'2.'!M34+'3.'!M34</f>
        <v>9000000</v>
      </c>
      <c r="N34" s="61">
        <f>'2.'!N34+'3.'!N34</f>
        <v>7400000</v>
      </c>
      <c r="O34" s="61">
        <f>'2.'!O34+'3.'!O34</f>
        <v>0</v>
      </c>
      <c r="P34" s="62">
        <f t="shared" si="0"/>
        <v>7400000</v>
      </c>
    </row>
    <row r="35" spans="1:16" s="49" customFormat="1" ht="18" customHeight="1" x14ac:dyDescent="0.25">
      <c r="A35" s="413"/>
      <c r="B35" s="414"/>
      <c r="C35" s="414"/>
      <c r="D35" s="414"/>
      <c r="E35" s="414"/>
      <c r="F35" s="414"/>
      <c r="G35" s="414"/>
      <c r="H35" s="415"/>
      <c r="I35" s="70"/>
      <c r="J35" s="388"/>
      <c r="K35" s="59" t="s">
        <v>4</v>
      </c>
      <c r="L35" s="60" t="s">
        <v>8</v>
      </c>
      <c r="M35" s="61">
        <f>'2.'!M35+'3.'!M35</f>
        <v>0</v>
      </c>
      <c r="N35" s="61">
        <f>'2.'!N35+'3.'!N35</f>
        <v>0</v>
      </c>
      <c r="O35" s="61">
        <f>'2.'!O35+'3.'!O35</f>
        <v>0</v>
      </c>
      <c r="P35" s="62">
        <f t="shared" si="0"/>
        <v>0</v>
      </c>
    </row>
    <row r="36" spans="1:16" s="49" customFormat="1" ht="18" customHeight="1" x14ac:dyDescent="0.25">
      <c r="A36" s="71" t="s">
        <v>0</v>
      </c>
      <c r="B36" s="370" t="s">
        <v>19</v>
      </c>
      <c r="C36" s="371"/>
      <c r="D36" s="372"/>
      <c r="E36" s="72">
        <f>+E37+E38+E39</f>
        <v>864055306</v>
      </c>
      <c r="F36" s="72">
        <f>+F37+F38+F39</f>
        <v>1128409988</v>
      </c>
      <c r="G36" s="72">
        <f>+G37+G38+G39</f>
        <v>87098324</v>
      </c>
      <c r="H36" s="72">
        <f>+H37+H38+H39</f>
        <v>1215508312</v>
      </c>
      <c r="I36" s="73" t="s">
        <v>0</v>
      </c>
      <c r="J36" s="416" t="s">
        <v>14</v>
      </c>
      <c r="K36" s="417"/>
      <c r="L36" s="417"/>
      <c r="M36" s="74">
        <f>+M37+M38+M39</f>
        <v>1235298677</v>
      </c>
      <c r="N36" s="74">
        <f>+N37+N38+N39</f>
        <v>1692314158</v>
      </c>
      <c r="O36" s="74">
        <f>+O37+O38+O39</f>
        <v>54875705</v>
      </c>
      <c r="P36" s="75">
        <f t="shared" si="0"/>
        <v>1747189863</v>
      </c>
    </row>
    <row r="37" spans="1:16" s="49" customFormat="1" ht="18" customHeight="1" x14ac:dyDescent="0.25">
      <c r="A37" s="76"/>
      <c r="B37" s="418" t="s">
        <v>70</v>
      </c>
      <c r="C37" s="77" t="s">
        <v>1</v>
      </c>
      <c r="D37" s="78" t="s">
        <v>7</v>
      </c>
      <c r="E37" s="79">
        <f t="shared" ref="E37:F39" si="2">+E27+E23+E19+E15</f>
        <v>864055306</v>
      </c>
      <c r="F37" s="79">
        <f t="shared" si="2"/>
        <v>1128274988</v>
      </c>
      <c r="G37" s="79">
        <f>+G27+G23+G19+G15</f>
        <v>87098324</v>
      </c>
      <c r="H37" s="79">
        <f t="shared" ref="G37:H39" si="3">+H27+H23+H19+H15</f>
        <v>1215373312</v>
      </c>
      <c r="I37" s="378"/>
      <c r="J37" s="421" t="s">
        <v>69</v>
      </c>
      <c r="K37" s="77" t="s">
        <v>1</v>
      </c>
      <c r="L37" s="78" t="s">
        <v>7</v>
      </c>
      <c r="M37" s="79">
        <f>+M31+M27+M23+M19+M15</f>
        <v>1225031177</v>
      </c>
      <c r="N37" s="79">
        <f>+N31+N27+N23+N19+N15</f>
        <v>1678298647</v>
      </c>
      <c r="O37" s="79">
        <f>+O31+O27+O23+O19+O15</f>
        <v>54875705</v>
      </c>
      <c r="P37" s="80">
        <f t="shared" si="0"/>
        <v>1733174352</v>
      </c>
    </row>
    <row r="38" spans="1:16" s="49" customFormat="1" ht="18" customHeight="1" x14ac:dyDescent="0.25">
      <c r="A38" s="76"/>
      <c r="B38" s="419"/>
      <c r="C38" s="77" t="s">
        <v>2</v>
      </c>
      <c r="D38" s="78" t="s">
        <v>9</v>
      </c>
      <c r="E38" s="79">
        <f t="shared" si="2"/>
        <v>0</v>
      </c>
      <c r="F38" s="79">
        <f t="shared" si="2"/>
        <v>0</v>
      </c>
      <c r="G38" s="79">
        <f t="shared" si="3"/>
        <v>0</v>
      </c>
      <c r="H38" s="79">
        <f t="shared" si="3"/>
        <v>0</v>
      </c>
      <c r="I38" s="378"/>
      <c r="J38" s="421"/>
      <c r="K38" s="77" t="s">
        <v>2</v>
      </c>
      <c r="L38" s="78" t="s">
        <v>9</v>
      </c>
      <c r="M38" s="79">
        <f t="shared" ref="M38:O39" si="4">+M34+M28+M24+M20+M16</f>
        <v>10267500</v>
      </c>
      <c r="N38" s="79">
        <f t="shared" si="4"/>
        <v>14015511</v>
      </c>
      <c r="O38" s="79">
        <f t="shared" si="4"/>
        <v>0</v>
      </c>
      <c r="P38" s="80">
        <f t="shared" si="0"/>
        <v>14015511</v>
      </c>
    </row>
    <row r="39" spans="1:16" s="49" customFormat="1" ht="18" customHeight="1" x14ac:dyDescent="0.25">
      <c r="A39" s="81"/>
      <c r="B39" s="420"/>
      <c r="C39" s="77" t="s">
        <v>4</v>
      </c>
      <c r="D39" s="78" t="s">
        <v>8</v>
      </c>
      <c r="E39" s="79">
        <f t="shared" si="2"/>
        <v>0</v>
      </c>
      <c r="F39" s="79">
        <f t="shared" si="2"/>
        <v>135000</v>
      </c>
      <c r="G39" s="79">
        <f t="shared" si="3"/>
        <v>0</v>
      </c>
      <c r="H39" s="79">
        <f>+H29+H25+H21+H17</f>
        <v>135000</v>
      </c>
      <c r="I39" s="379"/>
      <c r="J39" s="421"/>
      <c r="K39" s="77" t="s">
        <v>4</v>
      </c>
      <c r="L39" s="78" t="s">
        <v>8</v>
      </c>
      <c r="M39" s="79">
        <f t="shared" si="4"/>
        <v>0</v>
      </c>
      <c r="N39" s="79">
        <f t="shared" si="4"/>
        <v>0</v>
      </c>
      <c r="O39" s="79">
        <f t="shared" si="4"/>
        <v>0</v>
      </c>
      <c r="P39" s="80">
        <f t="shared" si="0"/>
        <v>0</v>
      </c>
    </row>
    <row r="40" spans="1:16" s="83" customFormat="1" ht="30.75" customHeight="1" thickBot="1" x14ac:dyDescent="0.3">
      <c r="A40" s="403" t="s">
        <v>84</v>
      </c>
      <c r="B40" s="404"/>
      <c r="C40" s="404"/>
      <c r="D40" s="405"/>
      <c r="E40" s="277">
        <f>+M36-E36</f>
        <v>371243371</v>
      </c>
      <c r="F40" s="277">
        <f>+N36-F36</f>
        <v>563904170</v>
      </c>
      <c r="G40" s="277"/>
      <c r="H40" s="277">
        <f>+P36-H36</f>
        <v>531681551</v>
      </c>
      <c r="I40" s="403" t="s">
        <v>85</v>
      </c>
      <c r="J40" s="404"/>
      <c r="K40" s="404"/>
      <c r="L40" s="405"/>
      <c r="M40" s="278"/>
      <c r="N40" s="278"/>
      <c r="O40" s="277">
        <f>G36-O36</f>
        <v>32222619</v>
      </c>
      <c r="P40" s="279"/>
    </row>
    <row r="41" spans="1:16" s="49" customFormat="1" ht="18" customHeight="1" x14ac:dyDescent="0.25">
      <c r="A41" s="392" t="s">
        <v>41</v>
      </c>
      <c r="B41" s="393"/>
      <c r="C41" s="393"/>
      <c r="D41" s="393"/>
      <c r="E41" s="393"/>
      <c r="F41" s="393"/>
      <c r="G41" s="393"/>
      <c r="H41" s="393"/>
      <c r="I41" s="393"/>
      <c r="J41" s="393"/>
      <c r="K41" s="393"/>
      <c r="L41" s="393"/>
      <c r="M41" s="393"/>
      <c r="N41" s="393"/>
      <c r="O41" s="393"/>
      <c r="P41" s="394"/>
    </row>
    <row r="42" spans="1:16" s="49" customFormat="1" ht="18" customHeight="1" x14ac:dyDescent="0.25">
      <c r="A42" s="50" t="s">
        <v>3</v>
      </c>
      <c r="B42" s="395" t="s">
        <v>20</v>
      </c>
      <c r="C42" s="396"/>
      <c r="D42" s="397"/>
      <c r="E42" s="51">
        <f>E43+E47+E51</f>
        <v>0</v>
      </c>
      <c r="F42" s="51">
        <f>F43+F47+F51</f>
        <v>43652472</v>
      </c>
      <c r="G42" s="51">
        <f>G43+G47+G51</f>
        <v>-27408419</v>
      </c>
      <c r="H42" s="51">
        <f>H43+H47+H51</f>
        <v>16244053</v>
      </c>
      <c r="I42" s="84" t="s">
        <v>3</v>
      </c>
      <c r="J42" s="398" t="s">
        <v>18</v>
      </c>
      <c r="K42" s="399"/>
      <c r="L42" s="400"/>
      <c r="M42" s="53">
        <f>M43+M47+M51</f>
        <v>320559125</v>
      </c>
      <c r="N42" s="53">
        <f>N43+N47+N51</f>
        <v>365794604</v>
      </c>
      <c r="O42" s="53">
        <f>O43+O47+O51</f>
        <v>4814200</v>
      </c>
      <c r="P42" s="54">
        <f>N42+O42</f>
        <v>370608804</v>
      </c>
    </row>
    <row r="43" spans="1:16" s="49" customFormat="1" ht="18" customHeight="1" x14ac:dyDescent="0.25">
      <c r="A43" s="56"/>
      <c r="B43" s="381" t="s">
        <v>63</v>
      </c>
      <c r="C43" s="401" t="s">
        <v>98</v>
      </c>
      <c r="D43" s="402"/>
      <c r="E43" s="51">
        <f>E44+E45+E46</f>
        <v>0</v>
      </c>
      <c r="F43" s="51">
        <f>F44+F45+F46</f>
        <v>37483222</v>
      </c>
      <c r="G43" s="51">
        <f>G44+G45+G46</f>
        <v>-27483222</v>
      </c>
      <c r="H43" s="51">
        <f>H44+H45+H46</f>
        <v>10000000</v>
      </c>
      <c r="I43" s="57"/>
      <c r="J43" s="386" t="s">
        <v>52</v>
      </c>
      <c r="K43" s="389" t="s">
        <v>11</v>
      </c>
      <c r="L43" s="390"/>
      <c r="M43" s="51">
        <f>M44+M45+M46</f>
        <v>314059125</v>
      </c>
      <c r="N43" s="51">
        <f>N44+N45+N46</f>
        <v>359294604</v>
      </c>
      <c r="O43" s="51">
        <f>O44+O45+O46</f>
        <v>3273560</v>
      </c>
      <c r="P43" s="58">
        <f>N43+O43</f>
        <v>362568164</v>
      </c>
    </row>
    <row r="44" spans="1:16" s="49" customFormat="1" ht="18" customHeight="1" x14ac:dyDescent="0.25">
      <c r="A44" s="56"/>
      <c r="B44" s="382"/>
      <c r="C44" s="59" t="s">
        <v>1</v>
      </c>
      <c r="D44" s="60" t="s">
        <v>7</v>
      </c>
      <c r="E44" s="61">
        <f>'2.'!E44+'3.'!E44</f>
        <v>0</v>
      </c>
      <c r="F44" s="61">
        <f>'2.'!F44+'3.'!F44</f>
        <v>37483222</v>
      </c>
      <c r="G44" s="61">
        <f>'2.'!G44+'3.'!G44</f>
        <v>-27483222</v>
      </c>
      <c r="H44" s="62">
        <f>+F44+G44</f>
        <v>10000000</v>
      </c>
      <c r="I44" s="57"/>
      <c r="J44" s="387"/>
      <c r="K44" s="59" t="s">
        <v>1</v>
      </c>
      <c r="L44" s="60" t="s">
        <v>7</v>
      </c>
      <c r="M44" s="61">
        <f>'2.'!M44+'3.'!M44</f>
        <v>314059125</v>
      </c>
      <c r="N44" s="61">
        <f>'2.'!N44+'3.'!N44</f>
        <v>359294604</v>
      </c>
      <c r="O44" s="61">
        <f>'2.'!O44+'3.'!O44</f>
        <v>3273560</v>
      </c>
      <c r="P44" s="62">
        <f>N44+O44</f>
        <v>362568164</v>
      </c>
    </row>
    <row r="45" spans="1:16" s="49" customFormat="1" ht="18" customHeight="1" x14ac:dyDescent="0.25">
      <c r="A45" s="56"/>
      <c r="B45" s="382"/>
      <c r="C45" s="59" t="s">
        <v>2</v>
      </c>
      <c r="D45" s="60" t="s">
        <v>9</v>
      </c>
      <c r="E45" s="61">
        <f>'2.'!E45+'3.'!E45</f>
        <v>0</v>
      </c>
      <c r="F45" s="61">
        <f>'2.'!F45+'3.'!F45</f>
        <v>0</v>
      </c>
      <c r="G45" s="61">
        <f>'2.'!G45+'3.'!G45</f>
        <v>0</v>
      </c>
      <c r="H45" s="62">
        <f>+F45+G45</f>
        <v>0</v>
      </c>
      <c r="I45" s="57"/>
      <c r="J45" s="387"/>
      <c r="K45" s="59" t="s">
        <v>2</v>
      </c>
      <c r="L45" s="60" t="s">
        <v>9</v>
      </c>
      <c r="M45" s="61">
        <f>'2.'!M45+'3.'!M45</f>
        <v>0</v>
      </c>
      <c r="N45" s="61">
        <f>'2.'!N45+'3.'!N45</f>
        <v>0</v>
      </c>
      <c r="O45" s="61">
        <f>'2.'!O45+'3.'!O45</f>
        <v>0</v>
      </c>
      <c r="P45" s="62">
        <f t="shared" ref="P45:P54" si="5">N45+O45</f>
        <v>0</v>
      </c>
    </row>
    <row r="46" spans="1:16" s="49" customFormat="1" ht="18" customHeight="1" x14ac:dyDescent="0.25">
      <c r="A46" s="56"/>
      <c r="B46" s="383"/>
      <c r="C46" s="59" t="s">
        <v>4</v>
      </c>
      <c r="D46" s="60" t="s">
        <v>8</v>
      </c>
      <c r="E46" s="61">
        <f>'2.'!E46+'3.'!E46</f>
        <v>0</v>
      </c>
      <c r="F46" s="61">
        <f>'2.'!F46+'3.'!F46</f>
        <v>0</v>
      </c>
      <c r="G46" s="61">
        <f>'2.'!G46+'3.'!G46</f>
        <v>0</v>
      </c>
      <c r="H46" s="62">
        <f>+F46+G46</f>
        <v>0</v>
      </c>
      <c r="I46" s="57"/>
      <c r="J46" s="388"/>
      <c r="K46" s="59" t="s">
        <v>4</v>
      </c>
      <c r="L46" s="60" t="s">
        <v>8</v>
      </c>
      <c r="M46" s="61">
        <f>'2.'!M46+'3.'!M46</f>
        <v>0</v>
      </c>
      <c r="N46" s="61">
        <f>'2.'!N46+'3.'!N46</f>
        <v>0</v>
      </c>
      <c r="O46" s="61">
        <f>'2.'!O46+'3.'!O46</f>
        <v>0</v>
      </c>
      <c r="P46" s="62">
        <f t="shared" si="5"/>
        <v>0</v>
      </c>
    </row>
    <row r="47" spans="1:16" s="49" customFormat="1" ht="18" customHeight="1" x14ac:dyDescent="0.25">
      <c r="A47" s="56"/>
      <c r="B47" s="381" t="s">
        <v>66</v>
      </c>
      <c r="C47" s="384" t="s">
        <v>21</v>
      </c>
      <c r="D47" s="385"/>
      <c r="E47" s="51">
        <f>E48+E49+E50</f>
        <v>0</v>
      </c>
      <c r="F47" s="51">
        <f>F48+F49+F50</f>
        <v>3200000</v>
      </c>
      <c r="G47" s="51">
        <f>G48+G49+G50</f>
        <v>74803</v>
      </c>
      <c r="H47" s="51">
        <f>H48+H49+H50</f>
        <v>3274803</v>
      </c>
      <c r="I47" s="57"/>
      <c r="J47" s="386" t="s">
        <v>53</v>
      </c>
      <c r="K47" s="384" t="s">
        <v>12</v>
      </c>
      <c r="L47" s="385"/>
      <c r="M47" s="51">
        <f>M48+M49+M50</f>
        <v>6500000</v>
      </c>
      <c r="N47" s="51">
        <f>N48+N49+N50</f>
        <v>6500000</v>
      </c>
      <c r="O47" s="51">
        <f>O48+O49+O50</f>
        <v>1540640</v>
      </c>
      <c r="P47" s="64">
        <f t="shared" si="5"/>
        <v>8040640</v>
      </c>
    </row>
    <row r="48" spans="1:16" s="49" customFormat="1" ht="18" customHeight="1" x14ac:dyDescent="0.25">
      <c r="A48" s="56"/>
      <c r="B48" s="382"/>
      <c r="C48" s="59" t="s">
        <v>1</v>
      </c>
      <c r="D48" s="60" t="s">
        <v>7</v>
      </c>
      <c r="E48" s="61">
        <f>'2.'!E48+'3.'!E48</f>
        <v>0</v>
      </c>
      <c r="F48" s="61">
        <f>'2.'!F48+'3.'!F48</f>
        <v>3200000</v>
      </c>
      <c r="G48" s="61">
        <f>'2.'!G48+'3.'!G48</f>
        <v>74803</v>
      </c>
      <c r="H48" s="62">
        <f>+G48+F48</f>
        <v>3274803</v>
      </c>
      <c r="I48" s="57"/>
      <c r="J48" s="387"/>
      <c r="K48" s="59" t="s">
        <v>1</v>
      </c>
      <c r="L48" s="60" t="s">
        <v>7</v>
      </c>
      <c r="M48" s="61">
        <f>'2.'!M48+'3.'!M48</f>
        <v>6500000</v>
      </c>
      <c r="N48" s="61">
        <f>'2.'!N48+'3.'!N48</f>
        <v>6500000</v>
      </c>
      <c r="O48" s="61">
        <f>'2.'!O48+'3.'!O48</f>
        <v>1540640</v>
      </c>
      <c r="P48" s="62">
        <f t="shared" si="5"/>
        <v>8040640</v>
      </c>
    </row>
    <row r="49" spans="1:16" s="49" customFormat="1" ht="18" customHeight="1" x14ac:dyDescent="0.25">
      <c r="A49" s="56"/>
      <c r="B49" s="382"/>
      <c r="C49" s="59" t="s">
        <v>2</v>
      </c>
      <c r="D49" s="60" t="s">
        <v>9</v>
      </c>
      <c r="E49" s="61">
        <f>'2.'!E49+'3.'!E49</f>
        <v>0</v>
      </c>
      <c r="F49" s="61">
        <f>'2.'!F49+'3.'!F49</f>
        <v>0</v>
      </c>
      <c r="G49" s="61">
        <f>'2.'!G49+'3.'!G49</f>
        <v>0</v>
      </c>
      <c r="H49" s="62">
        <f>+G49+F49</f>
        <v>0</v>
      </c>
      <c r="I49" s="57"/>
      <c r="J49" s="387"/>
      <c r="K49" s="59" t="s">
        <v>2</v>
      </c>
      <c r="L49" s="60" t="s">
        <v>9</v>
      </c>
      <c r="M49" s="61">
        <f>'2.'!M49+'3.'!M49</f>
        <v>0</v>
      </c>
      <c r="N49" s="61">
        <f>'2.'!N49+'3.'!N49</f>
        <v>0</v>
      </c>
      <c r="O49" s="61">
        <f>'2.'!O49+'3.'!O49</f>
        <v>0</v>
      </c>
      <c r="P49" s="62">
        <f t="shared" si="5"/>
        <v>0</v>
      </c>
    </row>
    <row r="50" spans="1:16" s="49" customFormat="1" ht="18" customHeight="1" x14ac:dyDescent="0.25">
      <c r="A50" s="56"/>
      <c r="B50" s="383"/>
      <c r="C50" s="59" t="s">
        <v>4</v>
      </c>
      <c r="D50" s="60" t="s">
        <v>8</v>
      </c>
      <c r="E50" s="61">
        <f>'2.'!E50+'3.'!E50</f>
        <v>0</v>
      </c>
      <c r="F50" s="61">
        <f>'2.'!F50+'3.'!F50</f>
        <v>0</v>
      </c>
      <c r="G50" s="61">
        <f>'2.'!G50+'3.'!G50</f>
        <v>0</v>
      </c>
      <c r="H50" s="62">
        <f>+G50+F50</f>
        <v>0</v>
      </c>
      <c r="I50" s="57"/>
      <c r="J50" s="388"/>
      <c r="K50" s="59" t="s">
        <v>4</v>
      </c>
      <c r="L50" s="60" t="s">
        <v>8</v>
      </c>
      <c r="M50" s="61">
        <f>'2.'!M50+'3.'!M50</f>
        <v>0</v>
      </c>
      <c r="N50" s="61">
        <f>'2.'!N50+'3.'!N50</f>
        <v>0</v>
      </c>
      <c r="O50" s="61">
        <f>'2.'!O50+'3.'!O50</f>
        <v>0</v>
      </c>
      <c r="P50" s="62">
        <f t="shared" si="5"/>
        <v>0</v>
      </c>
    </row>
    <row r="51" spans="1:16" s="49" customFormat="1" ht="18" customHeight="1" x14ac:dyDescent="0.25">
      <c r="A51" s="56"/>
      <c r="B51" s="381" t="s">
        <v>68</v>
      </c>
      <c r="C51" s="389" t="s">
        <v>44</v>
      </c>
      <c r="D51" s="390"/>
      <c r="E51" s="51">
        <f>E52+E53+E54</f>
        <v>0</v>
      </c>
      <c r="F51" s="51">
        <f>F52+F53+F54</f>
        <v>2969250</v>
      </c>
      <c r="G51" s="51">
        <f>G52+G53+G54</f>
        <v>0</v>
      </c>
      <c r="H51" s="51">
        <f>H52+H53+H54</f>
        <v>2969250</v>
      </c>
      <c r="I51" s="57"/>
      <c r="J51" s="386" t="s">
        <v>54</v>
      </c>
      <c r="K51" s="391" t="s">
        <v>55</v>
      </c>
      <c r="L51" s="391"/>
      <c r="M51" s="51">
        <f>M52+M53+M54</f>
        <v>0</v>
      </c>
      <c r="N51" s="51">
        <f>N52+N53+N54</f>
        <v>0</v>
      </c>
      <c r="O51" s="51">
        <f>O52+O53+O54</f>
        <v>0</v>
      </c>
      <c r="P51" s="65">
        <f t="shared" si="5"/>
        <v>0</v>
      </c>
    </row>
    <row r="52" spans="1:16" s="49" customFormat="1" ht="18" customHeight="1" x14ac:dyDescent="0.25">
      <c r="A52" s="56"/>
      <c r="B52" s="382"/>
      <c r="C52" s="59" t="s">
        <v>1</v>
      </c>
      <c r="D52" s="60" t="s">
        <v>7</v>
      </c>
      <c r="E52" s="61">
        <f>'2.'!E52+'3.'!E52</f>
        <v>0</v>
      </c>
      <c r="F52" s="61">
        <f>'2.'!F52+'3.'!F52</f>
        <v>2969250</v>
      </c>
      <c r="G52" s="61">
        <f>'2.'!G52+'3.'!G52</f>
        <v>0</v>
      </c>
      <c r="H52" s="62">
        <f>+G52+F52</f>
        <v>2969250</v>
      </c>
      <c r="I52" s="57"/>
      <c r="J52" s="387"/>
      <c r="K52" s="59" t="s">
        <v>1</v>
      </c>
      <c r="L52" s="60" t="s">
        <v>7</v>
      </c>
      <c r="M52" s="61">
        <f>'2.'!M52+'3.'!M52</f>
        <v>0</v>
      </c>
      <c r="N52" s="61">
        <f>'2.'!N52+'3.'!N52</f>
        <v>0</v>
      </c>
      <c r="O52" s="61">
        <f>'2.'!O52+'3.'!O52</f>
        <v>0</v>
      </c>
      <c r="P52" s="62">
        <f>N52+O52</f>
        <v>0</v>
      </c>
    </row>
    <row r="53" spans="1:16" s="49" customFormat="1" ht="18" customHeight="1" x14ac:dyDescent="0.25">
      <c r="A53" s="56"/>
      <c r="B53" s="382"/>
      <c r="C53" s="59" t="s">
        <v>2</v>
      </c>
      <c r="D53" s="60" t="s">
        <v>9</v>
      </c>
      <c r="E53" s="61">
        <f>'2.'!E53+'3.'!E53</f>
        <v>0</v>
      </c>
      <c r="F53" s="61">
        <f>'2.'!F53+'3.'!F53</f>
        <v>0</v>
      </c>
      <c r="G53" s="61">
        <f>'2.'!G53+'3.'!G53</f>
        <v>0</v>
      </c>
      <c r="H53" s="62">
        <f>+G53+F53</f>
        <v>0</v>
      </c>
      <c r="I53" s="57"/>
      <c r="J53" s="387"/>
      <c r="K53" s="59" t="s">
        <v>2</v>
      </c>
      <c r="L53" s="60" t="s">
        <v>9</v>
      </c>
      <c r="M53" s="61">
        <f>'2.'!M53+'3.'!M53</f>
        <v>0</v>
      </c>
      <c r="N53" s="61">
        <f>'2.'!N53+'3.'!N53</f>
        <v>0</v>
      </c>
      <c r="O53" s="61">
        <f>'2.'!O53+'3.'!O53</f>
        <v>0</v>
      </c>
      <c r="P53" s="62">
        <f>N53+O53</f>
        <v>0</v>
      </c>
    </row>
    <row r="54" spans="1:16" s="49" customFormat="1" ht="18" customHeight="1" x14ac:dyDescent="0.25">
      <c r="A54" s="66"/>
      <c r="B54" s="383"/>
      <c r="C54" s="59" t="s">
        <v>4</v>
      </c>
      <c r="D54" s="60" t="s">
        <v>8</v>
      </c>
      <c r="E54" s="61">
        <f>'2.'!E54+'3.'!E54</f>
        <v>0</v>
      </c>
      <c r="F54" s="61">
        <f>'2.'!F54+'3.'!F54</f>
        <v>0</v>
      </c>
      <c r="G54" s="61">
        <f>'2.'!G54+'3.'!G54</f>
        <v>0</v>
      </c>
      <c r="H54" s="62">
        <f>+G54+F54</f>
        <v>0</v>
      </c>
      <c r="I54" s="70"/>
      <c r="J54" s="388"/>
      <c r="K54" s="59" t="s">
        <v>4</v>
      </c>
      <c r="L54" s="60" t="s">
        <v>8</v>
      </c>
      <c r="M54" s="61">
        <f>'2.'!M54+'3.'!M54</f>
        <v>0</v>
      </c>
      <c r="N54" s="61">
        <f>'2.'!N54+'3.'!N54</f>
        <v>0</v>
      </c>
      <c r="O54" s="61">
        <f>'2.'!O54+'3.'!O54</f>
        <v>0</v>
      </c>
      <c r="P54" s="62">
        <f t="shared" si="5"/>
        <v>0</v>
      </c>
    </row>
    <row r="55" spans="1:16" s="49" customFormat="1" ht="18" customHeight="1" x14ac:dyDescent="0.25">
      <c r="A55" s="85" t="s">
        <v>3</v>
      </c>
      <c r="B55" s="361" t="s">
        <v>22</v>
      </c>
      <c r="C55" s="362"/>
      <c r="D55" s="363"/>
      <c r="E55" s="74">
        <f>E56+E57+E58</f>
        <v>0</v>
      </c>
      <c r="F55" s="74">
        <f>F56+F57+F58</f>
        <v>43652472</v>
      </c>
      <c r="G55" s="74">
        <f>G56+G57+G58</f>
        <v>-27408419</v>
      </c>
      <c r="H55" s="74">
        <f>H56+H57+H58</f>
        <v>16244053</v>
      </c>
      <c r="I55" s="86" t="s">
        <v>3</v>
      </c>
      <c r="J55" s="361" t="s">
        <v>15</v>
      </c>
      <c r="K55" s="362"/>
      <c r="L55" s="363"/>
      <c r="M55" s="74">
        <f>M56+M57+M58</f>
        <v>320559125</v>
      </c>
      <c r="N55" s="74">
        <f>N56+N57+N58</f>
        <v>365794604</v>
      </c>
      <c r="O55" s="74">
        <f>O56+O57+O58</f>
        <v>4814200</v>
      </c>
      <c r="P55" s="75">
        <f>P56+P57+P58</f>
        <v>370608804</v>
      </c>
    </row>
    <row r="56" spans="1:16" s="49" customFormat="1" ht="18" customHeight="1" x14ac:dyDescent="0.25">
      <c r="A56" s="76"/>
      <c r="B56" s="364" t="s">
        <v>71</v>
      </c>
      <c r="C56" s="77" t="s">
        <v>1</v>
      </c>
      <c r="D56" s="78" t="s">
        <v>7</v>
      </c>
      <c r="E56" s="79">
        <f t="shared" ref="E56:H58" si="6">E44+E48+E52</f>
        <v>0</v>
      </c>
      <c r="F56" s="79">
        <f t="shared" si="6"/>
        <v>43652472</v>
      </c>
      <c r="G56" s="79">
        <f t="shared" si="6"/>
        <v>-27408419</v>
      </c>
      <c r="H56" s="79">
        <f>H44+H48+H52</f>
        <v>16244053</v>
      </c>
      <c r="I56" s="87"/>
      <c r="J56" s="366" t="s">
        <v>56</v>
      </c>
      <c r="K56" s="77" t="s">
        <v>1</v>
      </c>
      <c r="L56" s="78" t="s">
        <v>7</v>
      </c>
      <c r="M56" s="79">
        <f>M44+M48+M52</f>
        <v>320559125</v>
      </c>
      <c r="N56" s="79">
        <f>N44+N48+N52</f>
        <v>365794604</v>
      </c>
      <c r="O56" s="79">
        <f>O44+O48+O52</f>
        <v>4814200</v>
      </c>
      <c r="P56" s="80">
        <f>P44+P48+P52</f>
        <v>370608804</v>
      </c>
    </row>
    <row r="57" spans="1:16" s="49" customFormat="1" ht="18" customHeight="1" x14ac:dyDescent="0.25">
      <c r="A57" s="76"/>
      <c r="B57" s="365"/>
      <c r="C57" s="77" t="s">
        <v>2</v>
      </c>
      <c r="D57" s="78" t="s">
        <v>9</v>
      </c>
      <c r="E57" s="79">
        <f t="shared" si="6"/>
        <v>0</v>
      </c>
      <c r="F57" s="79">
        <f t="shared" si="6"/>
        <v>0</v>
      </c>
      <c r="G57" s="79">
        <f t="shared" si="6"/>
        <v>0</v>
      </c>
      <c r="H57" s="79">
        <f t="shared" si="6"/>
        <v>0</v>
      </c>
      <c r="I57" s="87"/>
      <c r="J57" s="366"/>
      <c r="K57" s="77" t="s">
        <v>2</v>
      </c>
      <c r="L57" s="78" t="s">
        <v>9</v>
      </c>
      <c r="M57" s="79">
        <f t="shared" ref="M57:O58" si="7">M45+M49+M53</f>
        <v>0</v>
      </c>
      <c r="N57" s="79">
        <f t="shared" si="7"/>
        <v>0</v>
      </c>
      <c r="O57" s="79">
        <f t="shared" si="7"/>
        <v>0</v>
      </c>
      <c r="P57" s="80">
        <f>P45+P49+P53</f>
        <v>0</v>
      </c>
    </row>
    <row r="58" spans="1:16" s="49" customFormat="1" ht="18" customHeight="1" x14ac:dyDescent="0.25">
      <c r="A58" s="76"/>
      <c r="B58" s="365"/>
      <c r="C58" s="88" t="s">
        <v>4</v>
      </c>
      <c r="D58" s="89" t="s">
        <v>8</v>
      </c>
      <c r="E58" s="79">
        <f t="shared" si="6"/>
        <v>0</v>
      </c>
      <c r="F58" s="79">
        <f t="shared" si="6"/>
        <v>0</v>
      </c>
      <c r="G58" s="79">
        <f t="shared" si="6"/>
        <v>0</v>
      </c>
      <c r="H58" s="79">
        <f t="shared" si="6"/>
        <v>0</v>
      </c>
      <c r="I58" s="87"/>
      <c r="J58" s="367"/>
      <c r="K58" s="88" t="s">
        <v>4</v>
      </c>
      <c r="L58" s="89" t="s">
        <v>8</v>
      </c>
      <c r="M58" s="79">
        <f t="shared" si="7"/>
        <v>0</v>
      </c>
      <c r="N58" s="79">
        <f t="shared" si="7"/>
        <v>0</v>
      </c>
      <c r="O58" s="79">
        <f t="shared" si="7"/>
        <v>0</v>
      </c>
      <c r="P58" s="90">
        <f>P46+P50+P54</f>
        <v>0</v>
      </c>
    </row>
    <row r="59" spans="1:16" s="91" customFormat="1" ht="31.5" customHeight="1" thickBot="1" x14ac:dyDescent="0.3">
      <c r="A59" s="368" t="s">
        <v>86</v>
      </c>
      <c r="B59" s="369"/>
      <c r="C59" s="369"/>
      <c r="D59" s="369"/>
      <c r="E59" s="280">
        <f>M55-E55</f>
        <v>320559125</v>
      </c>
      <c r="F59" s="280">
        <f>N55-F55</f>
        <v>322142132</v>
      </c>
      <c r="G59" s="280">
        <f>O55-G55</f>
        <v>32222619</v>
      </c>
      <c r="H59" s="280">
        <f>+P55-H55</f>
        <v>354364751</v>
      </c>
      <c r="I59" s="368" t="s">
        <v>87</v>
      </c>
      <c r="J59" s="369"/>
      <c r="K59" s="369"/>
      <c r="L59" s="369"/>
      <c r="M59" s="281"/>
      <c r="N59" s="281"/>
      <c r="O59" s="282"/>
      <c r="P59" s="283"/>
    </row>
    <row r="60" spans="1:16" s="49" customFormat="1" ht="18" customHeight="1" x14ac:dyDescent="0.25">
      <c r="A60" s="71" t="s">
        <v>30</v>
      </c>
      <c r="B60" s="370" t="s">
        <v>31</v>
      </c>
      <c r="C60" s="371"/>
      <c r="D60" s="372"/>
      <c r="E60" s="92">
        <f>E61+E62+E63</f>
        <v>864055306</v>
      </c>
      <c r="F60" s="92">
        <f>F61+F62+F63</f>
        <v>1172062460</v>
      </c>
      <c r="G60" s="92">
        <f>G61+G62+G63</f>
        <v>59689905</v>
      </c>
      <c r="H60" s="92">
        <f>H61+H62+H63</f>
        <v>1231752365</v>
      </c>
      <c r="I60" s="93" t="s">
        <v>30</v>
      </c>
      <c r="J60" s="373" t="s">
        <v>33</v>
      </c>
      <c r="K60" s="374"/>
      <c r="L60" s="374"/>
      <c r="M60" s="94">
        <f>M61+M62+M63</f>
        <v>1555857802</v>
      </c>
      <c r="N60" s="94">
        <f>N61+N62+N63</f>
        <v>2058108762</v>
      </c>
      <c r="O60" s="94">
        <f>O61+O62+O63</f>
        <v>59689905</v>
      </c>
      <c r="P60" s="95">
        <f>P61+P62+P63</f>
        <v>2117798667</v>
      </c>
    </row>
    <row r="61" spans="1:16" s="49" customFormat="1" ht="18" customHeight="1" x14ac:dyDescent="0.25">
      <c r="A61" s="76"/>
      <c r="B61" s="375" t="s">
        <v>73</v>
      </c>
      <c r="C61" s="77" t="s">
        <v>1</v>
      </c>
      <c r="D61" s="78" t="s">
        <v>7</v>
      </c>
      <c r="E61" s="82">
        <f t="shared" ref="E61:H63" si="8">E37+E56</f>
        <v>864055306</v>
      </c>
      <c r="F61" s="82">
        <f>F37+F56</f>
        <v>1171927460</v>
      </c>
      <c r="G61" s="82">
        <f>G37+G56</f>
        <v>59689905</v>
      </c>
      <c r="H61" s="82">
        <f>H37+H56</f>
        <v>1231617365</v>
      </c>
      <c r="I61" s="378"/>
      <c r="J61" s="380" t="s">
        <v>72</v>
      </c>
      <c r="K61" s="77" t="s">
        <v>1</v>
      </c>
      <c r="L61" s="78" t="s">
        <v>7</v>
      </c>
      <c r="M61" s="82">
        <f t="shared" ref="M61:N63" si="9">M37+M56</f>
        <v>1545590302</v>
      </c>
      <c r="N61" s="82">
        <f t="shared" si="9"/>
        <v>2044093251</v>
      </c>
      <c r="O61" s="82">
        <f t="shared" ref="O61:P63" si="10">O37+O56</f>
        <v>59689905</v>
      </c>
      <c r="P61" s="90">
        <f>P37+P56</f>
        <v>2103783156</v>
      </c>
    </row>
    <row r="62" spans="1:16" s="49" customFormat="1" ht="18" customHeight="1" x14ac:dyDescent="0.25">
      <c r="A62" s="76"/>
      <c r="B62" s="376"/>
      <c r="C62" s="77" t="s">
        <v>2</v>
      </c>
      <c r="D62" s="78" t="s">
        <v>9</v>
      </c>
      <c r="E62" s="82">
        <f t="shared" si="8"/>
        <v>0</v>
      </c>
      <c r="F62" s="82">
        <f>F38+F57</f>
        <v>0</v>
      </c>
      <c r="G62" s="82">
        <f t="shared" si="8"/>
        <v>0</v>
      </c>
      <c r="H62" s="82">
        <f t="shared" si="8"/>
        <v>0</v>
      </c>
      <c r="I62" s="378"/>
      <c r="J62" s="380"/>
      <c r="K62" s="77" t="s">
        <v>2</v>
      </c>
      <c r="L62" s="78" t="s">
        <v>9</v>
      </c>
      <c r="M62" s="82">
        <f t="shared" si="9"/>
        <v>10267500</v>
      </c>
      <c r="N62" s="82">
        <f t="shared" si="9"/>
        <v>14015511</v>
      </c>
      <c r="O62" s="82">
        <f t="shared" si="10"/>
        <v>0</v>
      </c>
      <c r="P62" s="90">
        <f>P38+P57</f>
        <v>14015511</v>
      </c>
    </row>
    <row r="63" spans="1:16" s="49" customFormat="1" ht="18" customHeight="1" x14ac:dyDescent="0.25">
      <c r="A63" s="81"/>
      <c r="B63" s="377"/>
      <c r="C63" s="77" t="s">
        <v>4</v>
      </c>
      <c r="D63" s="78" t="s">
        <v>8</v>
      </c>
      <c r="E63" s="79">
        <f t="shared" si="8"/>
        <v>0</v>
      </c>
      <c r="F63" s="82">
        <f>F39+F58</f>
        <v>135000</v>
      </c>
      <c r="G63" s="79">
        <f t="shared" si="8"/>
        <v>0</v>
      </c>
      <c r="H63" s="79">
        <f>H39+H58</f>
        <v>135000</v>
      </c>
      <c r="I63" s="379"/>
      <c r="J63" s="380"/>
      <c r="K63" s="77" t="s">
        <v>4</v>
      </c>
      <c r="L63" s="78" t="s">
        <v>8</v>
      </c>
      <c r="M63" s="79">
        <f t="shared" si="9"/>
        <v>0</v>
      </c>
      <c r="N63" s="79">
        <f t="shared" si="9"/>
        <v>0</v>
      </c>
      <c r="O63" s="79">
        <f t="shared" si="10"/>
        <v>0</v>
      </c>
      <c r="P63" s="80">
        <f t="shared" si="10"/>
        <v>0</v>
      </c>
    </row>
    <row r="64" spans="1:16" s="96" customFormat="1" ht="30" customHeight="1" thickBot="1" x14ac:dyDescent="0.3">
      <c r="A64" s="358" t="s">
        <v>60</v>
      </c>
      <c r="B64" s="359"/>
      <c r="C64" s="359"/>
      <c r="D64" s="360"/>
      <c r="E64" s="284">
        <f>+M60-E60</f>
        <v>691802496</v>
      </c>
      <c r="F64" s="284">
        <f>+N60-F60</f>
        <v>886046302</v>
      </c>
      <c r="G64" s="284"/>
      <c r="H64" s="284">
        <f>+P60-H60</f>
        <v>886046302</v>
      </c>
      <c r="I64" s="358" t="s">
        <v>61</v>
      </c>
      <c r="J64" s="359"/>
      <c r="K64" s="359"/>
      <c r="L64" s="360"/>
      <c r="M64" s="233"/>
      <c r="N64" s="233"/>
      <c r="O64" s="233"/>
      <c r="P64" s="285"/>
    </row>
    <row r="65" spans="1:16" s="49" customFormat="1" ht="18" customHeight="1" x14ac:dyDescent="0.25">
      <c r="A65" s="99" t="s">
        <v>34</v>
      </c>
      <c r="B65" s="350" t="s">
        <v>32</v>
      </c>
      <c r="C65" s="351"/>
      <c r="D65" s="352"/>
      <c r="E65" s="100">
        <f>E66+E67</f>
        <v>704246496</v>
      </c>
      <c r="F65" s="100">
        <f>F66+F67</f>
        <v>898490302</v>
      </c>
      <c r="G65" s="100">
        <f>G66+G67</f>
        <v>12444000</v>
      </c>
      <c r="H65" s="100">
        <f>H66+H67</f>
        <v>910934302</v>
      </c>
      <c r="I65" s="99" t="s">
        <v>34</v>
      </c>
      <c r="J65" s="350" t="s">
        <v>45</v>
      </c>
      <c r="K65" s="351"/>
      <c r="L65" s="352"/>
      <c r="M65" s="100">
        <f>M66+M67</f>
        <v>12444000</v>
      </c>
      <c r="N65" s="100">
        <f>N66+N67</f>
        <v>12444000</v>
      </c>
      <c r="O65" s="100">
        <f>O66+O67</f>
        <v>12444000</v>
      </c>
      <c r="P65" s="101">
        <f>P66+P67</f>
        <v>24888000</v>
      </c>
    </row>
    <row r="66" spans="1:16" s="49" customFormat="1" ht="18" customHeight="1" x14ac:dyDescent="0.25">
      <c r="A66" s="102"/>
      <c r="B66" s="353" t="s">
        <v>62</v>
      </c>
      <c r="C66" s="59" t="s">
        <v>1</v>
      </c>
      <c r="D66" s="60" t="s">
        <v>74</v>
      </c>
      <c r="E66" s="61">
        <f>'2.'!E66+'3.'!E66</f>
        <v>704246496</v>
      </c>
      <c r="F66" s="61">
        <f>'2.'!F66+'3.'!F66</f>
        <v>898490302</v>
      </c>
      <c r="G66" s="61">
        <f>'2.'!G66+'3.'!G66</f>
        <v>0</v>
      </c>
      <c r="H66" s="62">
        <f>+G66+F66</f>
        <v>898490302</v>
      </c>
      <c r="I66" s="102"/>
      <c r="J66" s="353" t="s">
        <v>57</v>
      </c>
      <c r="K66" s="59" t="s">
        <v>1</v>
      </c>
      <c r="L66" s="60" t="s">
        <v>77</v>
      </c>
      <c r="M66" s="61">
        <v>0</v>
      </c>
      <c r="N66" s="61">
        <v>0</v>
      </c>
      <c r="O66" s="61">
        <v>0</v>
      </c>
      <c r="P66" s="62">
        <f>+O66+M66</f>
        <v>0</v>
      </c>
    </row>
    <row r="67" spans="1:16" s="49" customFormat="1" ht="18" customHeight="1" x14ac:dyDescent="0.25">
      <c r="A67" s="102"/>
      <c r="B67" s="354"/>
      <c r="C67" s="59" t="s">
        <v>2</v>
      </c>
      <c r="D67" s="60" t="s">
        <v>75</v>
      </c>
      <c r="E67" s="61">
        <f>'2.'!E67</f>
        <v>0</v>
      </c>
      <c r="F67" s="61">
        <f>'2.'!F67</f>
        <v>0</v>
      </c>
      <c r="G67" s="61">
        <f>'2.'!G67</f>
        <v>12444000</v>
      </c>
      <c r="H67" s="62">
        <f>+G67+F67</f>
        <v>12444000</v>
      </c>
      <c r="I67" s="102"/>
      <c r="J67" s="354"/>
      <c r="K67" s="59" t="s">
        <v>2</v>
      </c>
      <c r="L67" s="60" t="s">
        <v>76</v>
      </c>
      <c r="M67" s="61">
        <f>'2.'!M67</f>
        <v>12444000</v>
      </c>
      <c r="N67" s="61">
        <f>'2.'!N67</f>
        <v>12444000</v>
      </c>
      <c r="O67" s="61">
        <f>'2.'!O67</f>
        <v>12444000</v>
      </c>
      <c r="P67" s="62">
        <f>N67+O67</f>
        <v>24888000</v>
      </c>
    </row>
    <row r="68" spans="1:16" s="103" customFormat="1" ht="18" customHeight="1" x14ac:dyDescent="0.25">
      <c r="A68" s="286" t="s">
        <v>35</v>
      </c>
      <c r="B68" s="355" t="s">
        <v>24</v>
      </c>
      <c r="C68" s="356"/>
      <c r="D68" s="357"/>
      <c r="E68" s="287">
        <f>E69+E70+E71</f>
        <v>1568301802</v>
      </c>
      <c r="F68" s="287">
        <f>F69+F70+F71</f>
        <v>2070552762</v>
      </c>
      <c r="G68" s="287">
        <f>G69+G70+G71</f>
        <v>72133905</v>
      </c>
      <c r="H68" s="287">
        <f>H69+H70+H71</f>
        <v>2142686667</v>
      </c>
      <c r="I68" s="288" t="s">
        <v>35</v>
      </c>
      <c r="J68" s="355" t="s">
        <v>25</v>
      </c>
      <c r="K68" s="356"/>
      <c r="L68" s="357"/>
      <c r="M68" s="287">
        <f>M69+M70+M71</f>
        <v>1568301802</v>
      </c>
      <c r="N68" s="287">
        <f>N69+N70+N71</f>
        <v>2070552762</v>
      </c>
      <c r="O68" s="287">
        <f>O69+O70+O71</f>
        <v>72133905</v>
      </c>
      <c r="P68" s="289">
        <f>P69+P70+P71</f>
        <v>2142686667</v>
      </c>
    </row>
    <row r="69" spans="1:16" s="103" customFormat="1" ht="18" customHeight="1" x14ac:dyDescent="0.25">
      <c r="A69" s="290"/>
      <c r="B69" s="346" t="s">
        <v>59</v>
      </c>
      <c r="C69" s="291" t="s">
        <v>1</v>
      </c>
      <c r="D69" s="292" t="s">
        <v>7</v>
      </c>
      <c r="E69" s="293">
        <f>E61+E66+E67</f>
        <v>1568301802</v>
      </c>
      <c r="F69" s="293">
        <f>F61+F66+F67</f>
        <v>2070417762</v>
      </c>
      <c r="G69" s="293">
        <f>G61+G66+G67</f>
        <v>72133905</v>
      </c>
      <c r="H69" s="293">
        <f>H61+H66+H67</f>
        <v>2142551667</v>
      </c>
      <c r="I69" s="294"/>
      <c r="J69" s="346" t="s">
        <v>58</v>
      </c>
      <c r="K69" s="291" t="s">
        <v>1</v>
      </c>
      <c r="L69" s="292" t="s">
        <v>7</v>
      </c>
      <c r="M69" s="293">
        <f>M61+M66+M67</f>
        <v>1558034302</v>
      </c>
      <c r="N69" s="293">
        <f>N61+N66+N67</f>
        <v>2056537251</v>
      </c>
      <c r="O69" s="293">
        <f>O61+O66+O67</f>
        <v>72133905</v>
      </c>
      <c r="P69" s="295">
        <f>P61+P66+P67</f>
        <v>2128671156</v>
      </c>
    </row>
    <row r="70" spans="1:16" s="103" customFormat="1" ht="18" customHeight="1" x14ac:dyDescent="0.25">
      <c r="A70" s="290"/>
      <c r="B70" s="347"/>
      <c r="C70" s="291" t="s">
        <v>2</v>
      </c>
      <c r="D70" s="292" t="s">
        <v>9</v>
      </c>
      <c r="E70" s="293">
        <f>'2.'!E70+'3.'!E70</f>
        <v>0</v>
      </c>
      <c r="F70" s="293">
        <f>'2.'!F70+'3.'!F70</f>
        <v>0</v>
      </c>
      <c r="G70" s="293">
        <f>'2.'!G70+'3.'!G70</f>
        <v>0</v>
      </c>
      <c r="H70" s="293">
        <f>H62</f>
        <v>0</v>
      </c>
      <c r="I70" s="294"/>
      <c r="J70" s="347"/>
      <c r="K70" s="291" t="s">
        <v>2</v>
      </c>
      <c r="L70" s="292" t="s">
        <v>9</v>
      </c>
      <c r="M70" s="293">
        <f t="shared" ref="M70:P71" si="11">M62</f>
        <v>10267500</v>
      </c>
      <c r="N70" s="293">
        <f t="shared" si="11"/>
        <v>14015511</v>
      </c>
      <c r="O70" s="293">
        <f t="shared" si="11"/>
        <v>0</v>
      </c>
      <c r="P70" s="295">
        <f t="shared" si="11"/>
        <v>14015511</v>
      </c>
    </row>
    <row r="71" spans="1:16" s="103" customFormat="1" ht="18" customHeight="1" thickBot="1" x14ac:dyDescent="0.3">
      <c r="A71" s="296"/>
      <c r="B71" s="348"/>
      <c r="C71" s="297" t="s">
        <v>4</v>
      </c>
      <c r="D71" s="298" t="s">
        <v>8</v>
      </c>
      <c r="E71" s="299">
        <f>'2.'!E71+'3.'!E71</f>
        <v>0</v>
      </c>
      <c r="F71" s="299">
        <f>'2.'!F71+'3.'!F71</f>
        <v>135000</v>
      </c>
      <c r="G71" s="299">
        <f>'2.'!G71+'3.'!G71</f>
        <v>0</v>
      </c>
      <c r="H71" s="299">
        <f>H63</f>
        <v>135000</v>
      </c>
      <c r="I71" s="300"/>
      <c r="J71" s="348"/>
      <c r="K71" s="297" t="s">
        <v>4</v>
      </c>
      <c r="L71" s="298" t="s">
        <v>8</v>
      </c>
      <c r="M71" s="299">
        <f t="shared" si="11"/>
        <v>0</v>
      </c>
      <c r="N71" s="299">
        <f>N63</f>
        <v>0</v>
      </c>
      <c r="O71" s="299">
        <f t="shared" si="11"/>
        <v>0</v>
      </c>
      <c r="P71" s="301">
        <f t="shared" si="11"/>
        <v>0</v>
      </c>
    </row>
    <row r="73" spans="1:16" x14ac:dyDescent="0.25">
      <c r="O73" s="334"/>
    </row>
    <row r="74" spans="1:16" x14ac:dyDescent="0.25">
      <c r="A74" s="349"/>
      <c r="B74" s="349"/>
      <c r="C74" s="349"/>
      <c r="D74" s="349"/>
      <c r="E74" s="349"/>
      <c r="F74" s="43"/>
      <c r="G74" s="43"/>
      <c r="H74" s="43"/>
    </row>
  </sheetData>
  <sheetProtection formatCells="0"/>
  <mergeCells count="78">
    <mergeCell ref="A7:P7"/>
    <mergeCell ref="L1:P1"/>
    <mergeCell ref="L2:P2"/>
    <mergeCell ref="A4:P4"/>
    <mergeCell ref="A5:P5"/>
    <mergeCell ref="A6:P6"/>
    <mergeCell ref="A8:P8"/>
    <mergeCell ref="D9:L9"/>
    <mergeCell ref="A10:E10"/>
    <mergeCell ref="I10:P10"/>
    <mergeCell ref="C11:D11"/>
    <mergeCell ref="K11:L11"/>
    <mergeCell ref="A12:P12"/>
    <mergeCell ref="B13:D13"/>
    <mergeCell ref="J13:L13"/>
    <mergeCell ref="B14:B17"/>
    <mergeCell ref="C14:D14"/>
    <mergeCell ref="J14:J17"/>
    <mergeCell ref="K14:L14"/>
    <mergeCell ref="B18:B21"/>
    <mergeCell ref="C18:D18"/>
    <mergeCell ref="J18:J21"/>
    <mergeCell ref="K18:L18"/>
    <mergeCell ref="B22:B25"/>
    <mergeCell ref="C22:D22"/>
    <mergeCell ref="J22:J25"/>
    <mergeCell ref="K22:L22"/>
    <mergeCell ref="A40:D40"/>
    <mergeCell ref="I40:L40"/>
    <mergeCell ref="B26:B29"/>
    <mergeCell ref="C26:D26"/>
    <mergeCell ref="J26:J29"/>
    <mergeCell ref="K26:L26"/>
    <mergeCell ref="A30:H35"/>
    <mergeCell ref="J30:J35"/>
    <mergeCell ref="K30:L30"/>
    <mergeCell ref="B36:D36"/>
    <mergeCell ref="J36:L36"/>
    <mergeCell ref="B37:B39"/>
    <mergeCell ref="I37:I39"/>
    <mergeCell ref="J37:J39"/>
    <mergeCell ref="A41:P41"/>
    <mergeCell ref="B42:D42"/>
    <mergeCell ref="J42:L42"/>
    <mergeCell ref="B43:B46"/>
    <mergeCell ref="C43:D43"/>
    <mergeCell ref="J43:J46"/>
    <mergeCell ref="K43:L43"/>
    <mergeCell ref="B47:B50"/>
    <mergeCell ref="C47:D47"/>
    <mergeCell ref="J47:J50"/>
    <mergeCell ref="K47:L47"/>
    <mergeCell ref="B51:B54"/>
    <mergeCell ref="C51:D51"/>
    <mergeCell ref="J51:J54"/>
    <mergeCell ref="K51:L51"/>
    <mergeCell ref="A64:D64"/>
    <mergeCell ref="I64:L64"/>
    <mergeCell ref="B55:D55"/>
    <mergeCell ref="J55:L55"/>
    <mergeCell ref="B56:B58"/>
    <mergeCell ref="J56:J58"/>
    <mergeCell ref="A59:D59"/>
    <mergeCell ref="I59:L59"/>
    <mergeCell ref="B60:D60"/>
    <mergeCell ref="J60:L60"/>
    <mergeCell ref="B61:B63"/>
    <mergeCell ref="I61:I63"/>
    <mergeCell ref="J61:J63"/>
    <mergeCell ref="B69:B71"/>
    <mergeCell ref="J69:J71"/>
    <mergeCell ref="A74:E74"/>
    <mergeCell ref="B65:D65"/>
    <mergeCell ref="J65:L65"/>
    <mergeCell ref="B66:B67"/>
    <mergeCell ref="J66:J67"/>
    <mergeCell ref="B68:D68"/>
    <mergeCell ref="J68:L68"/>
  </mergeCells>
  <printOptions horizontalCentered="1"/>
  <pageMargins left="0.19685039370078741" right="0.19685039370078741" top="3.937007874015748E-2" bottom="0" header="0.43307086614173229" footer="0.51181102362204722"/>
  <pageSetup paperSize="9" scale="61" orientation="landscape" r:id="rId1"/>
  <headerFooter alignWithMargins="0"/>
  <rowBreaks count="1" manualBreakCount="1">
    <brk id="4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A80AB-C481-414A-8769-A98CB1F2E98C}">
  <sheetPr>
    <tabColor theme="7" tint="0.59999389629810485"/>
  </sheetPr>
  <dimension ref="A1:T74"/>
  <sheetViews>
    <sheetView zoomScaleNormal="100" workbookViewId="0">
      <selection activeCell="A7" sqref="A7:P7"/>
    </sheetView>
  </sheetViews>
  <sheetFormatPr defaultColWidth="9.109375" defaultRowHeight="13.2" x14ac:dyDescent="0.25"/>
  <cols>
    <col min="1" max="1" width="5.5546875" style="31" customWidth="1"/>
    <col min="2" max="2" width="4.33203125" style="31" customWidth="1"/>
    <col min="3" max="3" width="3.6640625" style="3" customWidth="1"/>
    <col min="4" max="4" width="45.6640625" style="3" customWidth="1"/>
    <col min="5" max="5" width="14.6640625" style="3" customWidth="1"/>
    <col min="6" max="8" width="14.6640625" style="4" customWidth="1"/>
    <col min="9" max="9" width="6.5546875" style="9" customWidth="1"/>
    <col min="10" max="10" width="4.33203125" style="9" customWidth="1"/>
    <col min="11" max="11" width="3.6640625" style="9" customWidth="1"/>
    <col min="12" max="12" width="45.6640625" style="3" customWidth="1"/>
    <col min="13" max="15" width="14.6640625" style="3" customWidth="1"/>
    <col min="16" max="16" width="14.6640625" style="4" customWidth="1"/>
    <col min="17" max="16384" width="9.109375" style="3"/>
  </cols>
  <sheetData>
    <row r="1" spans="1:20" ht="13.8" x14ac:dyDescent="0.25">
      <c r="E1" s="4"/>
      <c r="H1" s="9"/>
      <c r="K1" s="434" t="s">
        <v>237</v>
      </c>
      <c r="L1" s="434"/>
      <c r="M1" s="434"/>
      <c r="N1" s="434"/>
      <c r="O1" s="434"/>
      <c r="P1" s="434"/>
      <c r="Q1" s="28"/>
      <c r="R1" s="28"/>
      <c r="S1" s="28"/>
      <c r="T1" s="28"/>
    </row>
    <row r="2" spans="1:20" ht="13.8" x14ac:dyDescent="0.25">
      <c r="E2" s="4"/>
      <c r="H2" s="9"/>
      <c r="K2" s="434" t="s">
        <v>95</v>
      </c>
      <c r="L2" s="434"/>
      <c r="M2" s="434"/>
      <c r="N2" s="434"/>
      <c r="O2" s="434"/>
      <c r="P2" s="434"/>
      <c r="Q2" s="28"/>
      <c r="R2" s="28"/>
      <c r="S2" s="28"/>
      <c r="T2" s="28"/>
    </row>
    <row r="3" spans="1:20" ht="13.8" x14ac:dyDescent="0.25">
      <c r="E3" s="4"/>
      <c r="H3" s="9"/>
      <c r="K3" s="30"/>
      <c r="L3" s="30"/>
      <c r="M3" s="30"/>
      <c r="N3" s="30"/>
      <c r="O3" s="28"/>
      <c r="P3" s="28"/>
      <c r="Q3" s="28"/>
      <c r="R3" s="28"/>
      <c r="S3" s="28"/>
      <c r="T3" s="28"/>
    </row>
    <row r="4" spans="1:20" ht="15.9" customHeight="1" x14ac:dyDescent="0.3">
      <c r="A4" s="525" t="s">
        <v>248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525"/>
    </row>
    <row r="5" spans="1:20" ht="15.9" customHeight="1" x14ac:dyDescent="0.3">
      <c r="A5" s="525" t="s">
        <v>23</v>
      </c>
      <c r="B5" s="525"/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5"/>
      <c r="N5" s="525"/>
      <c r="O5" s="525"/>
      <c r="P5" s="525"/>
    </row>
    <row r="6" spans="1:20" ht="15.9" customHeight="1" x14ac:dyDescent="0.3">
      <c r="A6" s="525" t="s">
        <v>40</v>
      </c>
      <c r="B6" s="525"/>
      <c r="C6" s="525"/>
      <c r="D6" s="525"/>
      <c r="E6" s="525"/>
      <c r="F6" s="525"/>
      <c r="G6" s="525"/>
      <c r="H6" s="525"/>
      <c r="I6" s="525"/>
      <c r="J6" s="525"/>
      <c r="K6" s="525"/>
      <c r="L6" s="525"/>
      <c r="M6" s="525"/>
      <c r="N6" s="525"/>
      <c r="O6" s="525"/>
      <c r="P6" s="525"/>
    </row>
    <row r="7" spans="1:20" ht="15.9" customHeight="1" x14ac:dyDescent="0.3">
      <c r="A7" s="525" t="s">
        <v>97</v>
      </c>
      <c r="B7" s="525"/>
      <c r="C7" s="525"/>
      <c r="D7" s="525"/>
      <c r="E7" s="525"/>
      <c r="F7" s="525"/>
      <c r="G7" s="525"/>
      <c r="H7" s="525"/>
      <c r="I7" s="525"/>
      <c r="J7" s="525"/>
      <c r="K7" s="525"/>
      <c r="L7" s="525"/>
      <c r="M7" s="525"/>
      <c r="N7" s="525"/>
      <c r="O7" s="525"/>
      <c r="P7" s="525"/>
    </row>
    <row r="8" spans="1:20" ht="15.9" customHeight="1" x14ac:dyDescent="0.3">
      <c r="A8" s="425" t="s">
        <v>243</v>
      </c>
      <c r="B8" s="425"/>
      <c r="C8" s="425"/>
      <c r="D8" s="425"/>
      <c r="E8" s="425"/>
      <c r="F8" s="425"/>
      <c r="G8" s="425"/>
      <c r="H8" s="425"/>
      <c r="I8" s="425"/>
      <c r="J8" s="425"/>
      <c r="K8" s="425"/>
      <c r="L8" s="425"/>
      <c r="M8" s="425"/>
      <c r="N8" s="425"/>
      <c r="O8" s="425"/>
      <c r="P8" s="425"/>
    </row>
    <row r="9" spans="1:20" ht="15.9" customHeight="1" thickBot="1" x14ac:dyDescent="0.4">
      <c r="D9" s="517"/>
      <c r="E9" s="517"/>
      <c r="F9" s="517"/>
      <c r="G9" s="517"/>
      <c r="H9" s="517"/>
      <c r="I9" s="517"/>
      <c r="J9" s="517"/>
      <c r="K9" s="517"/>
      <c r="L9" s="517"/>
      <c r="M9" s="104"/>
      <c r="N9" s="104"/>
      <c r="O9" s="104"/>
      <c r="P9" s="8" t="s">
        <v>101</v>
      </c>
    </row>
    <row r="10" spans="1:20" s="5" customFormat="1" ht="21.9" customHeight="1" x14ac:dyDescent="0.25">
      <c r="A10" s="518" t="s">
        <v>38</v>
      </c>
      <c r="B10" s="519"/>
      <c r="C10" s="519"/>
      <c r="D10" s="519"/>
      <c r="E10" s="519"/>
      <c r="F10" s="519"/>
      <c r="G10" s="270"/>
      <c r="H10" s="270"/>
      <c r="I10" s="518" t="s">
        <v>39</v>
      </c>
      <c r="J10" s="519"/>
      <c r="K10" s="519"/>
      <c r="L10" s="519"/>
      <c r="M10" s="519"/>
      <c r="N10" s="519"/>
      <c r="O10" s="519"/>
      <c r="P10" s="520"/>
    </row>
    <row r="11" spans="1:20" s="5" customFormat="1" ht="41.25" customHeight="1" thickBot="1" x14ac:dyDescent="0.3">
      <c r="A11" s="271" t="s">
        <v>78</v>
      </c>
      <c r="B11" s="272" t="s">
        <v>79</v>
      </c>
      <c r="C11" s="521"/>
      <c r="D11" s="522"/>
      <c r="E11" s="243" t="s">
        <v>28</v>
      </c>
      <c r="F11" s="273" t="s">
        <v>89</v>
      </c>
      <c r="G11" s="273" t="s">
        <v>88</v>
      </c>
      <c r="H11" s="273" t="s">
        <v>89</v>
      </c>
      <c r="I11" s="271" t="s">
        <v>78</v>
      </c>
      <c r="J11" s="272" t="s">
        <v>79</v>
      </c>
      <c r="K11" s="523"/>
      <c r="L11" s="524"/>
      <c r="M11" s="243" t="s">
        <v>28</v>
      </c>
      <c r="N11" s="273" t="s">
        <v>89</v>
      </c>
      <c r="O11" s="273" t="s">
        <v>88</v>
      </c>
      <c r="P11" s="274" t="s">
        <v>89</v>
      </c>
    </row>
    <row r="12" spans="1:20" s="1" customFormat="1" ht="18" customHeight="1" x14ac:dyDescent="0.25">
      <c r="A12" s="484" t="s">
        <v>37</v>
      </c>
      <c r="B12" s="485"/>
      <c r="C12" s="485"/>
      <c r="D12" s="485"/>
      <c r="E12" s="485"/>
      <c r="F12" s="485"/>
      <c r="G12" s="485"/>
      <c r="H12" s="485"/>
      <c r="I12" s="485"/>
      <c r="J12" s="485"/>
      <c r="K12" s="485"/>
      <c r="L12" s="485"/>
      <c r="M12" s="485"/>
      <c r="N12" s="485"/>
      <c r="O12" s="485"/>
      <c r="P12" s="486"/>
    </row>
    <row r="13" spans="1:20" s="2" customFormat="1" ht="18" customHeight="1" x14ac:dyDescent="0.25">
      <c r="A13" s="10" t="s">
        <v>0</v>
      </c>
      <c r="B13" s="487" t="s">
        <v>36</v>
      </c>
      <c r="C13" s="488"/>
      <c r="D13" s="489"/>
      <c r="E13" s="105">
        <f>E14+E18+E22+E26</f>
        <v>860116139</v>
      </c>
      <c r="F13" s="105">
        <f>F14+F18+F22+F26</f>
        <v>1099374257</v>
      </c>
      <c r="G13" s="105">
        <f>G14+G18+G22+G26</f>
        <v>53198324</v>
      </c>
      <c r="H13" s="105">
        <f>H14+H18+H22+H26</f>
        <v>1152572581</v>
      </c>
      <c r="I13" s="106" t="s">
        <v>0</v>
      </c>
      <c r="J13" s="514" t="s">
        <v>17</v>
      </c>
      <c r="K13" s="515"/>
      <c r="L13" s="516"/>
      <c r="M13" s="107">
        <f>M14+M18+M22+M26+M30</f>
        <v>935199004</v>
      </c>
      <c r="N13" s="107">
        <f>N14+N18+N22+N30+N26</f>
        <v>1245042024</v>
      </c>
      <c r="O13" s="107">
        <f>O14+O18+O22+O30+O26</f>
        <v>15213472</v>
      </c>
      <c r="P13" s="108">
        <f>P14+P18+P22+P30+P26</f>
        <v>1260255496</v>
      </c>
    </row>
    <row r="14" spans="1:20" s="1" customFormat="1" ht="18" customHeight="1" x14ac:dyDescent="0.25">
      <c r="A14" s="11"/>
      <c r="B14" s="473" t="s">
        <v>51</v>
      </c>
      <c r="C14" s="493" t="s">
        <v>43</v>
      </c>
      <c r="D14" s="494"/>
      <c r="E14" s="105">
        <f>SUM(E15:E17)</f>
        <v>798976087</v>
      </c>
      <c r="F14" s="105">
        <f>F15+F16+F17</f>
        <v>1002422943</v>
      </c>
      <c r="G14" s="105">
        <f>G15+G16+G17</f>
        <v>33715372</v>
      </c>
      <c r="H14" s="105">
        <f>H15+H16+H17</f>
        <v>1036138315</v>
      </c>
      <c r="I14" s="109"/>
      <c r="J14" s="478" t="s">
        <v>46</v>
      </c>
      <c r="K14" s="498" t="s">
        <v>13</v>
      </c>
      <c r="L14" s="498"/>
      <c r="M14" s="105">
        <f>SUM(M15:M17)</f>
        <v>134357212</v>
      </c>
      <c r="N14" s="105">
        <f>N15+N16+N17</f>
        <v>235267146</v>
      </c>
      <c r="O14" s="105">
        <f>O15+O16+O17</f>
        <v>865000</v>
      </c>
      <c r="P14" s="110">
        <f>P15+P16+P17</f>
        <v>236132146</v>
      </c>
    </row>
    <row r="15" spans="1:20" s="1" customFormat="1" ht="18" customHeight="1" x14ac:dyDescent="0.25">
      <c r="A15" s="11"/>
      <c r="B15" s="474"/>
      <c r="C15" s="111" t="s">
        <v>1</v>
      </c>
      <c r="D15" s="112" t="s">
        <v>7</v>
      </c>
      <c r="E15" s="113">
        <v>798976087</v>
      </c>
      <c r="F15" s="113">
        <v>1002422943</v>
      </c>
      <c r="G15" s="114">
        <v>33715372</v>
      </c>
      <c r="H15" s="115">
        <f>+G15+F15</f>
        <v>1036138315</v>
      </c>
      <c r="I15" s="109"/>
      <c r="J15" s="479"/>
      <c r="K15" s="111" t="s">
        <v>1</v>
      </c>
      <c r="L15" s="112" t="s">
        <v>7</v>
      </c>
      <c r="M15" s="113">
        <v>134257212</v>
      </c>
      <c r="N15" s="113">
        <v>232477240</v>
      </c>
      <c r="O15" s="116">
        <v>865000</v>
      </c>
      <c r="P15" s="115">
        <f>+O15+N15</f>
        <v>233342240</v>
      </c>
    </row>
    <row r="16" spans="1:20" s="1" customFormat="1" ht="18" customHeight="1" x14ac:dyDescent="0.25">
      <c r="A16" s="11"/>
      <c r="B16" s="474"/>
      <c r="C16" s="111" t="s">
        <v>2</v>
      </c>
      <c r="D16" s="112" t="s">
        <v>9</v>
      </c>
      <c r="E16" s="113">
        <v>0</v>
      </c>
      <c r="F16" s="113">
        <v>0</v>
      </c>
      <c r="G16" s="114">
        <v>0</v>
      </c>
      <c r="H16" s="115">
        <f>+G16+F16</f>
        <v>0</v>
      </c>
      <c r="I16" s="109"/>
      <c r="J16" s="479"/>
      <c r="K16" s="111" t="s">
        <v>2</v>
      </c>
      <c r="L16" s="112" t="s">
        <v>9</v>
      </c>
      <c r="M16" s="113">
        <v>100000</v>
      </c>
      <c r="N16" s="113">
        <v>2789906</v>
      </c>
      <c r="O16" s="116">
        <v>0</v>
      </c>
      <c r="P16" s="115">
        <f>+O16+N16</f>
        <v>2789906</v>
      </c>
    </row>
    <row r="17" spans="1:18" s="1" customFormat="1" ht="18" customHeight="1" x14ac:dyDescent="0.25">
      <c r="A17" s="11"/>
      <c r="B17" s="475"/>
      <c r="C17" s="111" t="s">
        <v>4</v>
      </c>
      <c r="D17" s="112" t="s">
        <v>8</v>
      </c>
      <c r="E17" s="113">
        <v>0</v>
      </c>
      <c r="F17" s="113">
        <v>0</v>
      </c>
      <c r="G17" s="114">
        <v>0</v>
      </c>
      <c r="H17" s="115">
        <f>+G17+F17</f>
        <v>0</v>
      </c>
      <c r="I17" s="109"/>
      <c r="J17" s="480"/>
      <c r="K17" s="111" t="s">
        <v>4</v>
      </c>
      <c r="L17" s="112" t="s">
        <v>8</v>
      </c>
      <c r="M17" s="113">
        <v>0</v>
      </c>
      <c r="N17" s="113">
        <v>0</v>
      </c>
      <c r="O17" s="116">
        <v>0</v>
      </c>
      <c r="P17" s="115">
        <f>+O17+N17</f>
        <v>0</v>
      </c>
    </row>
    <row r="18" spans="1:18" s="1" customFormat="1" ht="18" customHeight="1" x14ac:dyDescent="0.25">
      <c r="A18" s="11"/>
      <c r="B18" s="473" t="s">
        <v>64</v>
      </c>
      <c r="C18" s="476" t="s">
        <v>5</v>
      </c>
      <c r="D18" s="477"/>
      <c r="E18" s="105">
        <v>0</v>
      </c>
      <c r="F18" s="105">
        <f>F19+F20+F21</f>
        <v>0</v>
      </c>
      <c r="G18" s="105">
        <f>G19+G20+G21</f>
        <v>0</v>
      </c>
      <c r="H18" s="105">
        <f>H19+H20+H21</f>
        <v>0</v>
      </c>
      <c r="I18" s="109"/>
      <c r="J18" s="478" t="s">
        <v>47</v>
      </c>
      <c r="K18" s="483" t="s">
        <v>16</v>
      </c>
      <c r="L18" s="483"/>
      <c r="M18" s="105">
        <f>SUM(M19:M21)</f>
        <v>23239627</v>
      </c>
      <c r="N18" s="105">
        <f>N19+N20+N21</f>
        <v>27260630</v>
      </c>
      <c r="O18" s="105">
        <f>O19+O20+O21</f>
        <v>0</v>
      </c>
      <c r="P18" s="110">
        <f>P19+P20+P21</f>
        <v>27260630</v>
      </c>
    </row>
    <row r="19" spans="1:18" s="1" customFormat="1" ht="18" customHeight="1" x14ac:dyDescent="0.25">
      <c r="A19" s="11"/>
      <c r="B19" s="474"/>
      <c r="C19" s="111" t="s">
        <v>1</v>
      </c>
      <c r="D19" s="112" t="s">
        <v>7</v>
      </c>
      <c r="E19" s="113">
        <v>0</v>
      </c>
      <c r="F19" s="113">
        <v>0</v>
      </c>
      <c r="G19" s="114">
        <v>0</v>
      </c>
      <c r="H19" s="115">
        <f>+G19+F19</f>
        <v>0</v>
      </c>
      <c r="I19" s="109"/>
      <c r="J19" s="479"/>
      <c r="K19" s="111" t="s">
        <v>1</v>
      </c>
      <c r="L19" s="112" t="s">
        <v>7</v>
      </c>
      <c r="M19" s="113">
        <v>23226627</v>
      </c>
      <c r="N19" s="113">
        <v>26147619</v>
      </c>
      <c r="O19" s="116">
        <v>0</v>
      </c>
      <c r="P19" s="115">
        <f>+O19+N19</f>
        <v>26147619</v>
      </c>
    </row>
    <row r="20" spans="1:18" s="1" customFormat="1" ht="18" customHeight="1" x14ac:dyDescent="0.25">
      <c r="A20" s="11"/>
      <c r="B20" s="474"/>
      <c r="C20" s="111" t="s">
        <v>2</v>
      </c>
      <c r="D20" s="112" t="s">
        <v>9</v>
      </c>
      <c r="E20" s="113">
        <v>0</v>
      </c>
      <c r="F20" s="113">
        <v>0</v>
      </c>
      <c r="G20" s="114">
        <v>0</v>
      </c>
      <c r="H20" s="115">
        <f>+G20+F20</f>
        <v>0</v>
      </c>
      <c r="I20" s="109"/>
      <c r="J20" s="479"/>
      <c r="K20" s="111" t="s">
        <v>2</v>
      </c>
      <c r="L20" s="112" t="s">
        <v>9</v>
      </c>
      <c r="M20" s="113">
        <v>13000</v>
      </c>
      <c r="N20" s="113">
        <v>1113011</v>
      </c>
      <c r="O20" s="116">
        <v>0</v>
      </c>
      <c r="P20" s="115">
        <f>+O20+N20</f>
        <v>1113011</v>
      </c>
    </row>
    <row r="21" spans="1:18" s="1" customFormat="1" ht="18" customHeight="1" x14ac:dyDescent="0.25">
      <c r="A21" s="11"/>
      <c r="B21" s="475"/>
      <c r="C21" s="111" t="s">
        <v>4</v>
      </c>
      <c r="D21" s="112" t="s">
        <v>8</v>
      </c>
      <c r="E21" s="113">
        <v>0</v>
      </c>
      <c r="F21" s="113">
        <v>0</v>
      </c>
      <c r="G21" s="114">
        <v>0</v>
      </c>
      <c r="H21" s="115">
        <f>+G21+F21</f>
        <v>0</v>
      </c>
      <c r="I21" s="109"/>
      <c r="J21" s="480"/>
      <c r="K21" s="111" t="s">
        <v>4</v>
      </c>
      <c r="L21" s="112" t="s">
        <v>8</v>
      </c>
      <c r="M21" s="113">
        <v>0</v>
      </c>
      <c r="N21" s="113">
        <v>0</v>
      </c>
      <c r="O21" s="116">
        <v>0</v>
      </c>
      <c r="P21" s="115">
        <f>+O21+N21</f>
        <v>0</v>
      </c>
    </row>
    <row r="22" spans="1:18" s="1" customFormat="1" ht="18" customHeight="1" x14ac:dyDescent="0.25">
      <c r="A22" s="11"/>
      <c r="B22" s="473" t="s">
        <v>65</v>
      </c>
      <c r="C22" s="476" t="s">
        <v>27</v>
      </c>
      <c r="D22" s="477"/>
      <c r="E22" s="105">
        <f>SUM(E23:E25)</f>
        <v>600000</v>
      </c>
      <c r="F22" s="105">
        <f>F23+F24+F25</f>
        <v>10284825</v>
      </c>
      <c r="G22" s="105">
        <f>G23+G24+G25</f>
        <v>45332</v>
      </c>
      <c r="H22" s="105">
        <f>H23+H24+H25</f>
        <v>10330157</v>
      </c>
      <c r="I22" s="109"/>
      <c r="J22" s="478" t="s">
        <v>48</v>
      </c>
      <c r="K22" s="483" t="s">
        <v>26</v>
      </c>
      <c r="L22" s="483"/>
      <c r="M22" s="105">
        <f>SUM(M23:M25)</f>
        <v>719252165</v>
      </c>
      <c r="N22" s="105">
        <f>N23+N24+N25</f>
        <v>709001055</v>
      </c>
      <c r="O22" s="105">
        <f>O23+O24+O25</f>
        <v>-4909636</v>
      </c>
      <c r="P22" s="110">
        <f>P23+P24+P25</f>
        <v>704091419</v>
      </c>
    </row>
    <row r="23" spans="1:18" s="1" customFormat="1" ht="18" customHeight="1" x14ac:dyDescent="0.25">
      <c r="A23" s="11"/>
      <c r="B23" s="474"/>
      <c r="C23" s="111" t="s">
        <v>1</v>
      </c>
      <c r="D23" s="112" t="s">
        <v>7</v>
      </c>
      <c r="E23" s="113">
        <v>600000</v>
      </c>
      <c r="F23" s="113">
        <v>10284825</v>
      </c>
      <c r="G23" s="114">
        <v>45332</v>
      </c>
      <c r="H23" s="115">
        <f>+G23+F23</f>
        <v>10330157</v>
      </c>
      <c r="I23" s="109"/>
      <c r="J23" s="479"/>
      <c r="K23" s="111" t="s">
        <v>1</v>
      </c>
      <c r="L23" s="112" t="s">
        <v>7</v>
      </c>
      <c r="M23" s="113">
        <v>718097665</v>
      </c>
      <c r="N23" s="113">
        <v>706288461</v>
      </c>
      <c r="O23" s="116">
        <v>-4909636</v>
      </c>
      <c r="P23" s="115">
        <f>+O23+N23</f>
        <v>701378825</v>
      </c>
    </row>
    <row r="24" spans="1:18" s="1" customFormat="1" ht="18" customHeight="1" x14ac:dyDescent="0.25">
      <c r="A24" s="11"/>
      <c r="B24" s="474"/>
      <c r="C24" s="111" t="s">
        <v>2</v>
      </c>
      <c r="D24" s="112" t="s">
        <v>9</v>
      </c>
      <c r="E24" s="113">
        <v>0</v>
      </c>
      <c r="F24" s="113">
        <v>0</v>
      </c>
      <c r="G24" s="114">
        <v>0</v>
      </c>
      <c r="H24" s="115">
        <f>+G24+F24</f>
        <v>0</v>
      </c>
      <c r="I24" s="109"/>
      <c r="J24" s="479"/>
      <c r="K24" s="111" t="s">
        <v>2</v>
      </c>
      <c r="L24" s="112" t="s">
        <v>9</v>
      </c>
      <c r="M24" s="113">
        <v>1154500</v>
      </c>
      <c r="N24" s="113">
        <v>2712594</v>
      </c>
      <c r="O24" s="116">
        <v>0</v>
      </c>
      <c r="P24" s="115">
        <f t="shared" ref="P24:P35" si="0">+O24+N24</f>
        <v>2712594</v>
      </c>
    </row>
    <row r="25" spans="1:18" s="1" customFormat="1" ht="18" customHeight="1" x14ac:dyDescent="0.25">
      <c r="A25" s="11"/>
      <c r="B25" s="475"/>
      <c r="C25" s="111" t="s">
        <v>4</v>
      </c>
      <c r="D25" s="112" t="s">
        <v>8</v>
      </c>
      <c r="E25" s="113">
        <v>0</v>
      </c>
      <c r="F25" s="113">
        <v>0</v>
      </c>
      <c r="G25" s="114">
        <v>0</v>
      </c>
      <c r="H25" s="115">
        <f>+G25+F25</f>
        <v>0</v>
      </c>
      <c r="I25" s="109"/>
      <c r="J25" s="480"/>
      <c r="K25" s="111" t="s">
        <v>4</v>
      </c>
      <c r="L25" s="112" t="s">
        <v>8</v>
      </c>
      <c r="M25" s="113">
        <v>0</v>
      </c>
      <c r="N25" s="113">
        <v>0</v>
      </c>
      <c r="O25" s="116">
        <v>0</v>
      </c>
      <c r="P25" s="115">
        <f t="shared" si="0"/>
        <v>0</v>
      </c>
    </row>
    <row r="26" spans="1:18" s="1" customFormat="1" ht="18" customHeight="1" x14ac:dyDescent="0.25">
      <c r="A26" s="11"/>
      <c r="B26" s="473" t="s">
        <v>67</v>
      </c>
      <c r="C26" s="481" t="s">
        <v>42</v>
      </c>
      <c r="D26" s="482"/>
      <c r="E26" s="105">
        <f>SUM(E27:E29)</f>
        <v>60540052</v>
      </c>
      <c r="F26" s="105">
        <f>F27+F28+F29</f>
        <v>86666489</v>
      </c>
      <c r="G26" s="105">
        <f>G27+G28+G29</f>
        <v>19437620</v>
      </c>
      <c r="H26" s="105">
        <f>H27+H28+H29</f>
        <v>106104109</v>
      </c>
      <c r="I26" s="109"/>
      <c r="J26" s="478" t="s">
        <v>49</v>
      </c>
      <c r="K26" s="498" t="s">
        <v>6</v>
      </c>
      <c r="L26" s="498"/>
      <c r="M26" s="105">
        <v>0</v>
      </c>
      <c r="N26" s="105">
        <f>N27+N28+N29</f>
        <v>0</v>
      </c>
      <c r="O26" s="105">
        <f>O27+O28+O29</f>
        <v>0</v>
      </c>
      <c r="P26" s="110">
        <f>P27+P28+P29</f>
        <v>0</v>
      </c>
    </row>
    <row r="27" spans="1:18" s="1" customFormat="1" ht="18" customHeight="1" x14ac:dyDescent="0.25">
      <c r="A27" s="11"/>
      <c r="B27" s="474"/>
      <c r="C27" s="111" t="s">
        <v>1</v>
      </c>
      <c r="D27" s="112" t="s">
        <v>7</v>
      </c>
      <c r="E27" s="113">
        <v>60540052</v>
      </c>
      <c r="F27" s="113">
        <v>86666489</v>
      </c>
      <c r="G27" s="114">
        <v>19437620</v>
      </c>
      <c r="H27" s="115">
        <f>+G27+F27</f>
        <v>106104109</v>
      </c>
      <c r="I27" s="109"/>
      <c r="J27" s="479"/>
      <c r="K27" s="111" t="s">
        <v>1</v>
      </c>
      <c r="L27" s="112" t="s">
        <v>7</v>
      </c>
      <c r="M27" s="113">
        <v>0</v>
      </c>
      <c r="N27" s="113">
        <v>0</v>
      </c>
      <c r="O27" s="116">
        <v>0</v>
      </c>
      <c r="P27" s="115">
        <f t="shared" si="0"/>
        <v>0</v>
      </c>
    </row>
    <row r="28" spans="1:18" s="1" customFormat="1" ht="18" customHeight="1" x14ac:dyDescent="0.25">
      <c r="A28" s="11"/>
      <c r="B28" s="474"/>
      <c r="C28" s="111" t="s">
        <v>2</v>
      </c>
      <c r="D28" s="112" t="s">
        <v>9</v>
      </c>
      <c r="E28" s="113">
        <v>0</v>
      </c>
      <c r="F28" s="113">
        <v>0</v>
      </c>
      <c r="G28" s="114">
        <v>0</v>
      </c>
      <c r="H28" s="115">
        <f>+G28+F28</f>
        <v>0</v>
      </c>
      <c r="I28" s="109"/>
      <c r="J28" s="479"/>
      <c r="K28" s="111" t="s">
        <v>2</v>
      </c>
      <c r="L28" s="112" t="s">
        <v>9</v>
      </c>
      <c r="M28" s="113">
        <v>0</v>
      </c>
      <c r="N28" s="113">
        <v>0</v>
      </c>
      <c r="O28" s="116">
        <v>0</v>
      </c>
      <c r="P28" s="115">
        <f t="shared" si="0"/>
        <v>0</v>
      </c>
    </row>
    <row r="29" spans="1:18" s="1" customFormat="1" ht="18" customHeight="1" x14ac:dyDescent="0.25">
      <c r="A29" s="12"/>
      <c r="B29" s="475"/>
      <c r="C29" s="111" t="s">
        <v>4</v>
      </c>
      <c r="D29" s="112" t="s">
        <v>8</v>
      </c>
      <c r="E29" s="113">
        <v>0</v>
      </c>
      <c r="F29" s="113">
        <v>0</v>
      </c>
      <c r="G29" s="114">
        <v>0</v>
      </c>
      <c r="H29" s="115">
        <f>+G29+F29</f>
        <v>0</v>
      </c>
      <c r="I29" s="109"/>
      <c r="J29" s="480"/>
      <c r="K29" s="111" t="s">
        <v>4</v>
      </c>
      <c r="L29" s="112" t="s">
        <v>8</v>
      </c>
      <c r="M29" s="113">
        <v>0</v>
      </c>
      <c r="N29" s="113">
        <v>0</v>
      </c>
      <c r="O29" s="116">
        <v>0</v>
      </c>
      <c r="P29" s="115">
        <f t="shared" si="0"/>
        <v>0</v>
      </c>
    </row>
    <row r="30" spans="1:18" s="1" customFormat="1" ht="18" customHeight="1" x14ac:dyDescent="0.25">
      <c r="A30" s="499"/>
      <c r="B30" s="500"/>
      <c r="C30" s="500"/>
      <c r="D30" s="500"/>
      <c r="E30" s="500"/>
      <c r="F30" s="500"/>
      <c r="G30" s="500"/>
      <c r="H30" s="501"/>
      <c r="I30" s="109"/>
      <c r="J30" s="478" t="s">
        <v>50</v>
      </c>
      <c r="K30" s="483" t="s">
        <v>10</v>
      </c>
      <c r="L30" s="483"/>
      <c r="M30" s="105">
        <f>M31+M34+M35</f>
        <v>58350000</v>
      </c>
      <c r="N30" s="105">
        <f>N31+N34+N35</f>
        <v>273513193</v>
      </c>
      <c r="O30" s="105">
        <f>O31+O34+O35</f>
        <v>19258108</v>
      </c>
      <c r="P30" s="110">
        <f>P31+P34+P35</f>
        <v>292771301</v>
      </c>
    </row>
    <row r="31" spans="1:18" s="1" customFormat="1" ht="18" customHeight="1" x14ac:dyDescent="0.25">
      <c r="A31" s="502"/>
      <c r="B31" s="503"/>
      <c r="C31" s="503"/>
      <c r="D31" s="503"/>
      <c r="E31" s="503"/>
      <c r="F31" s="503"/>
      <c r="G31" s="503"/>
      <c r="H31" s="504"/>
      <c r="I31" s="109"/>
      <c r="J31" s="479"/>
      <c r="K31" s="111" t="s">
        <v>1</v>
      </c>
      <c r="L31" s="112" t="s">
        <v>7</v>
      </c>
      <c r="M31" s="113">
        <v>49350000</v>
      </c>
      <c r="N31" s="113">
        <v>266113193</v>
      </c>
      <c r="O31" s="41">
        <v>19258108</v>
      </c>
      <c r="P31" s="115">
        <f t="shared" si="0"/>
        <v>285371301</v>
      </c>
      <c r="Q31" s="27"/>
    </row>
    <row r="32" spans="1:18" s="1" customFormat="1" ht="18" customHeight="1" x14ac:dyDescent="0.25">
      <c r="A32" s="502"/>
      <c r="B32" s="503"/>
      <c r="C32" s="503"/>
      <c r="D32" s="503"/>
      <c r="E32" s="503"/>
      <c r="F32" s="503"/>
      <c r="G32" s="503"/>
      <c r="H32" s="504"/>
      <c r="I32" s="109"/>
      <c r="J32" s="479"/>
      <c r="K32" s="117" t="s">
        <v>80</v>
      </c>
      <c r="L32" s="118" t="s">
        <v>82</v>
      </c>
      <c r="M32" s="119">
        <v>5000000</v>
      </c>
      <c r="N32" s="119">
        <v>83790666</v>
      </c>
      <c r="O32" s="42">
        <v>19258108</v>
      </c>
      <c r="P32" s="120">
        <f t="shared" si="0"/>
        <v>103048774</v>
      </c>
      <c r="Q32" s="27"/>
      <c r="R32" s="27"/>
    </row>
    <row r="33" spans="1:16" s="1" customFormat="1" ht="18" customHeight="1" x14ac:dyDescent="0.25">
      <c r="A33" s="502"/>
      <c r="B33" s="503"/>
      <c r="C33" s="503"/>
      <c r="D33" s="503"/>
      <c r="E33" s="503"/>
      <c r="F33" s="503"/>
      <c r="G33" s="503"/>
      <c r="H33" s="504"/>
      <c r="I33" s="109"/>
      <c r="J33" s="479"/>
      <c r="K33" s="117" t="s">
        <v>81</v>
      </c>
      <c r="L33" s="118" t="s">
        <v>83</v>
      </c>
      <c r="M33" s="119">
        <v>0</v>
      </c>
      <c r="N33" s="119">
        <v>48601291</v>
      </c>
      <c r="O33" s="42">
        <v>0</v>
      </c>
      <c r="P33" s="120">
        <f t="shared" si="0"/>
        <v>48601291</v>
      </c>
    </row>
    <row r="34" spans="1:16" s="1" customFormat="1" ht="18" customHeight="1" x14ac:dyDescent="0.25">
      <c r="A34" s="502"/>
      <c r="B34" s="503"/>
      <c r="C34" s="503"/>
      <c r="D34" s="503"/>
      <c r="E34" s="503"/>
      <c r="F34" s="503"/>
      <c r="G34" s="503"/>
      <c r="H34" s="504"/>
      <c r="I34" s="109"/>
      <c r="J34" s="479"/>
      <c r="K34" s="111" t="s">
        <v>2</v>
      </c>
      <c r="L34" s="112" t="s">
        <v>9</v>
      </c>
      <c r="M34" s="113">
        <v>9000000</v>
      </c>
      <c r="N34" s="113">
        <v>7400000</v>
      </c>
      <c r="O34" s="116">
        <v>0</v>
      </c>
      <c r="P34" s="115">
        <f t="shared" si="0"/>
        <v>7400000</v>
      </c>
    </row>
    <row r="35" spans="1:16" s="1" customFormat="1" ht="18" customHeight="1" x14ac:dyDescent="0.25">
      <c r="A35" s="505"/>
      <c r="B35" s="506"/>
      <c r="C35" s="506"/>
      <c r="D35" s="506"/>
      <c r="E35" s="506"/>
      <c r="F35" s="506"/>
      <c r="G35" s="506"/>
      <c r="H35" s="507"/>
      <c r="I35" s="121"/>
      <c r="J35" s="480"/>
      <c r="K35" s="111" t="s">
        <v>4</v>
      </c>
      <c r="L35" s="112" t="s">
        <v>8</v>
      </c>
      <c r="M35" s="113">
        <v>0</v>
      </c>
      <c r="N35" s="113">
        <v>0</v>
      </c>
      <c r="O35" s="116">
        <v>0</v>
      </c>
      <c r="P35" s="115">
        <f t="shared" si="0"/>
        <v>0</v>
      </c>
    </row>
    <row r="36" spans="1:16" s="1" customFormat="1" ht="18" customHeight="1" x14ac:dyDescent="0.25">
      <c r="A36" s="23" t="s">
        <v>0</v>
      </c>
      <c r="B36" s="462" t="s">
        <v>19</v>
      </c>
      <c r="C36" s="463"/>
      <c r="D36" s="464"/>
      <c r="E36" s="122">
        <f>+E37+E38+E39</f>
        <v>860116139</v>
      </c>
      <c r="F36" s="122">
        <f>+F37+F38+F39</f>
        <v>1099374257</v>
      </c>
      <c r="G36" s="122">
        <f>+G37+G38+G39</f>
        <v>53198324</v>
      </c>
      <c r="H36" s="122">
        <f>+H37+H38+H39</f>
        <v>1152572581</v>
      </c>
      <c r="I36" s="24" t="s">
        <v>0</v>
      </c>
      <c r="J36" s="508" t="s">
        <v>14</v>
      </c>
      <c r="K36" s="509"/>
      <c r="L36" s="509"/>
      <c r="M36" s="32">
        <f>SUM(M37:M39)</f>
        <v>935199004</v>
      </c>
      <c r="N36" s="32">
        <f>+N37+N38+N39</f>
        <v>1245042024</v>
      </c>
      <c r="O36" s="32">
        <f>+O37+O38+O39</f>
        <v>15213472</v>
      </c>
      <c r="P36" s="33">
        <f>+P37+P38+P39</f>
        <v>1260255496</v>
      </c>
    </row>
    <row r="37" spans="1:16" s="1" customFormat="1" ht="18" customHeight="1" x14ac:dyDescent="0.25">
      <c r="A37" s="15"/>
      <c r="B37" s="510" t="s">
        <v>70</v>
      </c>
      <c r="C37" s="16" t="s">
        <v>1</v>
      </c>
      <c r="D37" s="17" t="s">
        <v>7</v>
      </c>
      <c r="E37" s="123">
        <f>E15+E19+E23+E27</f>
        <v>860116139</v>
      </c>
      <c r="F37" s="124">
        <f t="shared" ref="F37:H39" si="1">+F27+F23+F19+F15</f>
        <v>1099374257</v>
      </c>
      <c r="G37" s="124">
        <f t="shared" si="1"/>
        <v>53198324</v>
      </c>
      <c r="H37" s="124">
        <f t="shared" si="1"/>
        <v>1152572581</v>
      </c>
      <c r="I37" s="470"/>
      <c r="J37" s="513" t="s">
        <v>69</v>
      </c>
      <c r="K37" s="16" t="s">
        <v>1</v>
      </c>
      <c r="L37" s="17" t="s">
        <v>7</v>
      </c>
      <c r="M37" s="34">
        <f>M15+M19+M23+M27+M31</f>
        <v>924931504</v>
      </c>
      <c r="N37" s="34">
        <f>+N31+N27+N23+N19+N15</f>
        <v>1231026513</v>
      </c>
      <c r="O37" s="34">
        <f>+O31+O27+O23+O19+O15</f>
        <v>15213472</v>
      </c>
      <c r="P37" s="35">
        <f>+P31+P27+P23+P19+P15</f>
        <v>1246239985</v>
      </c>
    </row>
    <row r="38" spans="1:16" s="1" customFormat="1" ht="18" customHeight="1" x14ac:dyDescent="0.25">
      <c r="A38" s="15"/>
      <c r="B38" s="511"/>
      <c r="C38" s="16" t="s">
        <v>2</v>
      </c>
      <c r="D38" s="17" t="s">
        <v>9</v>
      </c>
      <c r="E38" s="125">
        <v>0</v>
      </c>
      <c r="F38" s="124">
        <f t="shared" si="1"/>
        <v>0</v>
      </c>
      <c r="G38" s="124">
        <f t="shared" si="1"/>
        <v>0</v>
      </c>
      <c r="H38" s="124">
        <f t="shared" si="1"/>
        <v>0</v>
      </c>
      <c r="I38" s="470"/>
      <c r="J38" s="513"/>
      <c r="K38" s="16" t="s">
        <v>2</v>
      </c>
      <c r="L38" s="17" t="s">
        <v>9</v>
      </c>
      <c r="M38" s="34">
        <f>M16+M20+M24+M28+M34</f>
        <v>10267500</v>
      </c>
      <c r="N38" s="34">
        <f t="shared" ref="N38:P39" si="2">+N34+N28+N24+N20+N16</f>
        <v>14015511</v>
      </c>
      <c r="O38" s="34">
        <f t="shared" si="2"/>
        <v>0</v>
      </c>
      <c r="P38" s="35">
        <f t="shared" si="2"/>
        <v>14015511</v>
      </c>
    </row>
    <row r="39" spans="1:16" s="1" customFormat="1" ht="18" customHeight="1" x14ac:dyDescent="0.25">
      <c r="A39" s="18"/>
      <c r="B39" s="512"/>
      <c r="C39" s="16" t="s">
        <v>4</v>
      </c>
      <c r="D39" s="17" t="s">
        <v>8</v>
      </c>
      <c r="E39" s="125">
        <v>0</v>
      </c>
      <c r="F39" s="124">
        <f t="shared" si="1"/>
        <v>0</v>
      </c>
      <c r="G39" s="124">
        <f t="shared" si="1"/>
        <v>0</v>
      </c>
      <c r="H39" s="124">
        <f t="shared" si="1"/>
        <v>0</v>
      </c>
      <c r="I39" s="471"/>
      <c r="J39" s="513"/>
      <c r="K39" s="16" t="s">
        <v>4</v>
      </c>
      <c r="L39" s="17" t="s">
        <v>8</v>
      </c>
      <c r="M39" s="36">
        <v>0</v>
      </c>
      <c r="N39" s="36">
        <f t="shared" si="2"/>
        <v>0</v>
      </c>
      <c r="O39" s="36">
        <f t="shared" si="2"/>
        <v>0</v>
      </c>
      <c r="P39" s="37">
        <f t="shared" si="2"/>
        <v>0</v>
      </c>
    </row>
    <row r="40" spans="1:16" s="26" customFormat="1" ht="30.75" customHeight="1" thickBot="1" x14ac:dyDescent="0.3">
      <c r="A40" s="495" t="s">
        <v>84</v>
      </c>
      <c r="B40" s="496"/>
      <c r="C40" s="496"/>
      <c r="D40" s="497"/>
      <c r="E40" s="318">
        <f>M36-E36</f>
        <v>75082865</v>
      </c>
      <c r="F40" s="319">
        <f>N36-F36</f>
        <v>145667767</v>
      </c>
      <c r="G40" s="319"/>
      <c r="H40" s="320">
        <f>P36-H36</f>
        <v>107682915</v>
      </c>
      <c r="I40" s="495" t="s">
        <v>85</v>
      </c>
      <c r="J40" s="496"/>
      <c r="K40" s="496"/>
      <c r="L40" s="497"/>
      <c r="M40" s="321"/>
      <c r="N40" s="321"/>
      <c r="O40" s="321">
        <f>G36-O36</f>
        <v>37984852</v>
      </c>
      <c r="P40" s="322"/>
    </row>
    <row r="41" spans="1:16" s="1" customFormat="1" ht="18" customHeight="1" x14ac:dyDescent="0.25">
      <c r="A41" s="484" t="s">
        <v>41</v>
      </c>
      <c r="B41" s="485"/>
      <c r="C41" s="485"/>
      <c r="D41" s="485"/>
      <c r="E41" s="485"/>
      <c r="F41" s="485"/>
      <c r="G41" s="485"/>
      <c r="H41" s="485"/>
      <c r="I41" s="485"/>
      <c r="J41" s="485"/>
      <c r="K41" s="485"/>
      <c r="L41" s="485"/>
      <c r="M41" s="485"/>
      <c r="N41" s="485"/>
      <c r="O41" s="485"/>
      <c r="P41" s="486"/>
    </row>
    <row r="42" spans="1:16" s="1" customFormat="1" ht="18" customHeight="1" x14ac:dyDescent="0.25">
      <c r="A42" s="10" t="s">
        <v>3</v>
      </c>
      <c r="B42" s="487" t="s">
        <v>20</v>
      </c>
      <c r="C42" s="488"/>
      <c r="D42" s="489"/>
      <c r="E42" s="105">
        <f>E43+E47+E51</f>
        <v>0</v>
      </c>
      <c r="F42" s="105">
        <f>F43+F47+F51</f>
        <v>43652472</v>
      </c>
      <c r="G42" s="105">
        <f>G43+G47+G51</f>
        <v>-27408419</v>
      </c>
      <c r="H42" s="105">
        <f>H43+H47+H51</f>
        <v>16244053</v>
      </c>
      <c r="I42" s="126" t="s">
        <v>3</v>
      </c>
      <c r="J42" s="490" t="s">
        <v>18</v>
      </c>
      <c r="K42" s="491"/>
      <c r="L42" s="492"/>
      <c r="M42" s="107">
        <f>M43+M47+M51</f>
        <v>319924125</v>
      </c>
      <c r="N42" s="107">
        <f>N43+N47+N51</f>
        <v>365159604</v>
      </c>
      <c r="O42" s="127">
        <f>O43+O47+O51</f>
        <v>4814200</v>
      </c>
      <c r="P42" s="108">
        <f>P43+P47+P51</f>
        <v>369973804</v>
      </c>
    </row>
    <row r="43" spans="1:16" s="1" customFormat="1" ht="18" customHeight="1" x14ac:dyDescent="0.25">
      <c r="A43" s="11"/>
      <c r="B43" s="473" t="s">
        <v>63</v>
      </c>
      <c r="C43" s="493" t="s">
        <v>98</v>
      </c>
      <c r="D43" s="494"/>
      <c r="E43" s="105">
        <f>SUM(E44:E46)</f>
        <v>0</v>
      </c>
      <c r="F43" s="105">
        <f>F44+F45+F46</f>
        <v>37483222</v>
      </c>
      <c r="G43" s="105">
        <f>G44+G45+G46</f>
        <v>-27483222</v>
      </c>
      <c r="H43" s="105">
        <f>H44+H45+H46</f>
        <v>10000000</v>
      </c>
      <c r="I43" s="109"/>
      <c r="J43" s="478" t="s">
        <v>52</v>
      </c>
      <c r="K43" s="481" t="s">
        <v>11</v>
      </c>
      <c r="L43" s="482"/>
      <c r="M43" s="105">
        <f>SUM(M44:M46)</f>
        <v>313424125</v>
      </c>
      <c r="N43" s="105">
        <f>N44+N45+N46</f>
        <v>358659604</v>
      </c>
      <c r="O43" s="128">
        <f>O44+O45+O46</f>
        <v>3273560</v>
      </c>
      <c r="P43" s="110">
        <f>P44+P45+P46</f>
        <v>361933164</v>
      </c>
    </row>
    <row r="44" spans="1:16" s="1" customFormat="1" ht="18" customHeight="1" x14ac:dyDescent="0.25">
      <c r="A44" s="11"/>
      <c r="B44" s="474"/>
      <c r="C44" s="111" t="s">
        <v>1</v>
      </c>
      <c r="D44" s="112" t="s">
        <v>7</v>
      </c>
      <c r="E44" s="113">
        <v>0</v>
      </c>
      <c r="F44" s="113">
        <v>37483222</v>
      </c>
      <c r="G44" s="114">
        <v>-27483222</v>
      </c>
      <c r="H44" s="115">
        <f>+G44+F44</f>
        <v>10000000</v>
      </c>
      <c r="I44" s="109"/>
      <c r="J44" s="479"/>
      <c r="K44" s="111" t="s">
        <v>1</v>
      </c>
      <c r="L44" s="112" t="s">
        <v>7</v>
      </c>
      <c r="M44" s="113">
        <v>313424125</v>
      </c>
      <c r="N44" s="113">
        <v>358659604</v>
      </c>
      <c r="O44" s="116">
        <v>3273560</v>
      </c>
      <c r="P44" s="115">
        <f>+O44+N44</f>
        <v>361933164</v>
      </c>
    </row>
    <row r="45" spans="1:16" s="1" customFormat="1" ht="18" customHeight="1" x14ac:dyDescent="0.25">
      <c r="A45" s="11"/>
      <c r="B45" s="474"/>
      <c r="C45" s="111" t="s">
        <v>2</v>
      </c>
      <c r="D45" s="112" t="s">
        <v>9</v>
      </c>
      <c r="E45" s="113">
        <v>0</v>
      </c>
      <c r="F45" s="113">
        <v>0</v>
      </c>
      <c r="G45" s="114">
        <v>0</v>
      </c>
      <c r="H45" s="115">
        <f>+G45+F45</f>
        <v>0</v>
      </c>
      <c r="I45" s="109"/>
      <c r="J45" s="479"/>
      <c r="K45" s="111" t="s">
        <v>2</v>
      </c>
      <c r="L45" s="112" t="s">
        <v>9</v>
      </c>
      <c r="M45" s="113">
        <v>0</v>
      </c>
      <c r="N45" s="113">
        <v>0</v>
      </c>
      <c r="O45" s="116">
        <v>0</v>
      </c>
      <c r="P45" s="115">
        <f>+O45+N45</f>
        <v>0</v>
      </c>
    </row>
    <row r="46" spans="1:16" s="1" customFormat="1" ht="18" customHeight="1" x14ac:dyDescent="0.25">
      <c r="A46" s="11"/>
      <c r="B46" s="475"/>
      <c r="C46" s="111" t="s">
        <v>4</v>
      </c>
      <c r="D46" s="112" t="s">
        <v>8</v>
      </c>
      <c r="E46" s="113">
        <v>0</v>
      </c>
      <c r="F46" s="113">
        <v>0</v>
      </c>
      <c r="G46" s="114">
        <v>0</v>
      </c>
      <c r="H46" s="115">
        <f>+G46+F46</f>
        <v>0</v>
      </c>
      <c r="I46" s="109"/>
      <c r="J46" s="480"/>
      <c r="K46" s="111" t="s">
        <v>4</v>
      </c>
      <c r="L46" s="112" t="s">
        <v>8</v>
      </c>
      <c r="M46" s="113">
        <v>0</v>
      </c>
      <c r="N46" s="113">
        <v>0</v>
      </c>
      <c r="O46" s="116">
        <v>0</v>
      </c>
      <c r="P46" s="115">
        <f>+O46+N46</f>
        <v>0</v>
      </c>
    </row>
    <row r="47" spans="1:16" s="1" customFormat="1" ht="18" customHeight="1" x14ac:dyDescent="0.25">
      <c r="A47" s="11"/>
      <c r="B47" s="473" t="s">
        <v>66</v>
      </c>
      <c r="C47" s="476" t="s">
        <v>21</v>
      </c>
      <c r="D47" s="477"/>
      <c r="E47" s="105">
        <f>SUM(E48:E50)</f>
        <v>0</v>
      </c>
      <c r="F47" s="105">
        <f>F48+F49+F50</f>
        <v>3200000</v>
      </c>
      <c r="G47" s="105">
        <f>G48+G49+G50</f>
        <v>74803</v>
      </c>
      <c r="H47" s="105">
        <f>H48+H49+H50</f>
        <v>3274803</v>
      </c>
      <c r="I47" s="109"/>
      <c r="J47" s="478" t="s">
        <v>53</v>
      </c>
      <c r="K47" s="476" t="s">
        <v>12</v>
      </c>
      <c r="L47" s="477"/>
      <c r="M47" s="105">
        <f>SUM(M48:M50)</f>
        <v>6500000</v>
      </c>
      <c r="N47" s="105">
        <f>N48+N49+N50</f>
        <v>6500000</v>
      </c>
      <c r="O47" s="105">
        <f>O48+O49+O50</f>
        <v>1540640</v>
      </c>
      <c r="P47" s="110">
        <f>P48+P49+P50</f>
        <v>8040640</v>
      </c>
    </row>
    <row r="48" spans="1:16" s="1" customFormat="1" ht="18" customHeight="1" x14ac:dyDescent="0.25">
      <c r="A48" s="11"/>
      <c r="B48" s="474"/>
      <c r="C48" s="111" t="s">
        <v>1</v>
      </c>
      <c r="D48" s="112" t="s">
        <v>7</v>
      </c>
      <c r="E48" s="113">
        <v>0</v>
      </c>
      <c r="F48" s="113">
        <v>3200000</v>
      </c>
      <c r="G48" s="114">
        <v>74803</v>
      </c>
      <c r="H48" s="115">
        <f>+G48+F48</f>
        <v>3274803</v>
      </c>
      <c r="I48" s="109"/>
      <c r="J48" s="479"/>
      <c r="K48" s="111" t="s">
        <v>1</v>
      </c>
      <c r="L48" s="112" t="s">
        <v>7</v>
      </c>
      <c r="M48" s="113">
        <v>6500000</v>
      </c>
      <c r="N48" s="113">
        <v>6500000</v>
      </c>
      <c r="O48" s="116">
        <v>1540640</v>
      </c>
      <c r="P48" s="115">
        <f>+O48+N48</f>
        <v>8040640</v>
      </c>
    </row>
    <row r="49" spans="1:16" s="1" customFormat="1" ht="18" customHeight="1" x14ac:dyDescent="0.25">
      <c r="A49" s="11"/>
      <c r="B49" s="474"/>
      <c r="C49" s="111" t="s">
        <v>2</v>
      </c>
      <c r="D49" s="112" t="s">
        <v>9</v>
      </c>
      <c r="E49" s="113">
        <v>0</v>
      </c>
      <c r="F49" s="113">
        <v>0</v>
      </c>
      <c r="G49" s="114">
        <v>0</v>
      </c>
      <c r="H49" s="115">
        <f>+G49+F49</f>
        <v>0</v>
      </c>
      <c r="I49" s="109"/>
      <c r="J49" s="479"/>
      <c r="K49" s="111" t="s">
        <v>2</v>
      </c>
      <c r="L49" s="112" t="s">
        <v>9</v>
      </c>
      <c r="M49" s="113">
        <v>0</v>
      </c>
      <c r="N49" s="113">
        <v>0</v>
      </c>
      <c r="O49" s="116">
        <v>0</v>
      </c>
      <c r="P49" s="115">
        <f>+O49+N49</f>
        <v>0</v>
      </c>
    </row>
    <row r="50" spans="1:16" s="1" customFormat="1" ht="18" customHeight="1" x14ac:dyDescent="0.25">
      <c r="A50" s="11"/>
      <c r="B50" s="475"/>
      <c r="C50" s="111" t="s">
        <v>4</v>
      </c>
      <c r="D50" s="112" t="s">
        <v>8</v>
      </c>
      <c r="E50" s="113">
        <v>0</v>
      </c>
      <c r="F50" s="113">
        <v>0</v>
      </c>
      <c r="G50" s="114">
        <v>0</v>
      </c>
      <c r="H50" s="115">
        <f>+G50+F50</f>
        <v>0</v>
      </c>
      <c r="I50" s="109"/>
      <c r="J50" s="480"/>
      <c r="K50" s="111" t="s">
        <v>4</v>
      </c>
      <c r="L50" s="112" t="s">
        <v>8</v>
      </c>
      <c r="M50" s="113">
        <v>0</v>
      </c>
      <c r="N50" s="113">
        <v>0</v>
      </c>
      <c r="O50" s="116">
        <v>0</v>
      </c>
      <c r="P50" s="115">
        <f>+O50+N50</f>
        <v>0</v>
      </c>
    </row>
    <row r="51" spans="1:16" s="1" customFormat="1" ht="18" customHeight="1" x14ac:dyDescent="0.25">
      <c r="A51" s="11"/>
      <c r="B51" s="473" t="s">
        <v>68</v>
      </c>
      <c r="C51" s="481" t="s">
        <v>44</v>
      </c>
      <c r="D51" s="482"/>
      <c r="E51" s="105">
        <f>SUM(E52:E54)</f>
        <v>0</v>
      </c>
      <c r="F51" s="105">
        <f>F52+F53+F54</f>
        <v>2969250</v>
      </c>
      <c r="G51" s="105">
        <f>G52+G53+G54</f>
        <v>0</v>
      </c>
      <c r="H51" s="105">
        <f>H52+H53+H54</f>
        <v>2969250</v>
      </c>
      <c r="I51" s="109"/>
      <c r="J51" s="478" t="s">
        <v>54</v>
      </c>
      <c r="K51" s="483" t="s">
        <v>55</v>
      </c>
      <c r="L51" s="483"/>
      <c r="M51" s="105">
        <f>SUM(M52:M54)</f>
        <v>0</v>
      </c>
      <c r="N51" s="105">
        <f>N52+N53+N54</f>
        <v>0</v>
      </c>
      <c r="O51" s="105">
        <f>O52+O53+O54</f>
        <v>0</v>
      </c>
      <c r="P51" s="110">
        <f>P52+P53+P54</f>
        <v>0</v>
      </c>
    </row>
    <row r="52" spans="1:16" s="1" customFormat="1" ht="18" customHeight="1" x14ac:dyDescent="0.25">
      <c r="A52" s="11"/>
      <c r="B52" s="474"/>
      <c r="C52" s="111" t="s">
        <v>1</v>
      </c>
      <c r="D52" s="112" t="s">
        <v>7</v>
      </c>
      <c r="E52" s="113">
        <v>0</v>
      </c>
      <c r="F52" s="113">
        <v>2969250</v>
      </c>
      <c r="G52" s="114">
        <v>0</v>
      </c>
      <c r="H52" s="115">
        <f>+G52+F52</f>
        <v>2969250</v>
      </c>
      <c r="I52" s="109"/>
      <c r="J52" s="479"/>
      <c r="K52" s="111" t="s">
        <v>1</v>
      </c>
      <c r="L52" s="112" t="s">
        <v>7</v>
      </c>
      <c r="M52" s="113">
        <v>0</v>
      </c>
      <c r="N52" s="113">
        <v>0</v>
      </c>
      <c r="O52" s="116">
        <v>0</v>
      </c>
      <c r="P52" s="115">
        <f>+O52+N52</f>
        <v>0</v>
      </c>
    </row>
    <row r="53" spans="1:16" s="1" customFormat="1" ht="18" customHeight="1" x14ac:dyDescent="0.25">
      <c r="A53" s="11"/>
      <c r="B53" s="474"/>
      <c r="C53" s="111" t="s">
        <v>2</v>
      </c>
      <c r="D53" s="112" t="s">
        <v>9</v>
      </c>
      <c r="E53" s="113">
        <v>0</v>
      </c>
      <c r="F53" s="113">
        <v>0</v>
      </c>
      <c r="G53" s="114">
        <v>0</v>
      </c>
      <c r="H53" s="115">
        <f>+G53+F53</f>
        <v>0</v>
      </c>
      <c r="I53" s="109"/>
      <c r="J53" s="479"/>
      <c r="K53" s="111" t="s">
        <v>2</v>
      </c>
      <c r="L53" s="112" t="s">
        <v>9</v>
      </c>
      <c r="M53" s="113">
        <v>0</v>
      </c>
      <c r="N53" s="113">
        <v>0</v>
      </c>
      <c r="O53" s="116">
        <v>0</v>
      </c>
      <c r="P53" s="115">
        <f>+O53+N53</f>
        <v>0</v>
      </c>
    </row>
    <row r="54" spans="1:16" s="1" customFormat="1" ht="18" customHeight="1" x14ac:dyDescent="0.25">
      <c r="A54" s="12"/>
      <c r="B54" s="475"/>
      <c r="C54" s="111" t="s">
        <v>4</v>
      </c>
      <c r="D54" s="112" t="s">
        <v>8</v>
      </c>
      <c r="E54" s="113">
        <v>0</v>
      </c>
      <c r="F54" s="113">
        <v>0</v>
      </c>
      <c r="G54" s="114">
        <v>0</v>
      </c>
      <c r="H54" s="115">
        <f>+G54+F54</f>
        <v>0</v>
      </c>
      <c r="I54" s="121"/>
      <c r="J54" s="480"/>
      <c r="K54" s="111" t="s">
        <v>4</v>
      </c>
      <c r="L54" s="112" t="s">
        <v>8</v>
      </c>
      <c r="M54" s="113">
        <v>0</v>
      </c>
      <c r="N54" s="113">
        <v>0</v>
      </c>
      <c r="O54" s="116">
        <v>0</v>
      </c>
      <c r="P54" s="115">
        <f>+O54+N54</f>
        <v>0</v>
      </c>
    </row>
    <row r="55" spans="1:16" s="1" customFormat="1" ht="18" customHeight="1" x14ac:dyDescent="0.25">
      <c r="A55" s="13" t="s">
        <v>3</v>
      </c>
      <c r="B55" s="453" t="s">
        <v>22</v>
      </c>
      <c r="C55" s="454"/>
      <c r="D55" s="455"/>
      <c r="E55" s="32">
        <f>SUM(E56:E58)</f>
        <v>0</v>
      </c>
      <c r="F55" s="32">
        <f>F56+F57+F58</f>
        <v>43652472</v>
      </c>
      <c r="G55" s="32">
        <f>G56+G57+G58</f>
        <v>-27408419</v>
      </c>
      <c r="H55" s="32">
        <f>H56+H57+H58</f>
        <v>16244053</v>
      </c>
      <c r="I55" s="14" t="s">
        <v>3</v>
      </c>
      <c r="J55" s="453" t="s">
        <v>15</v>
      </c>
      <c r="K55" s="454"/>
      <c r="L55" s="455"/>
      <c r="M55" s="32">
        <f>SUM(M56:M58)</f>
        <v>319924125</v>
      </c>
      <c r="N55" s="32">
        <f>N56+N57+N58</f>
        <v>365159604</v>
      </c>
      <c r="O55" s="32">
        <f>O56+O57+O58</f>
        <v>4814200</v>
      </c>
      <c r="P55" s="33">
        <f>P56+P57+P58</f>
        <v>369973804</v>
      </c>
    </row>
    <row r="56" spans="1:16" s="1" customFormat="1" ht="18" customHeight="1" x14ac:dyDescent="0.25">
      <c r="A56" s="15"/>
      <c r="B56" s="456" t="s">
        <v>71</v>
      </c>
      <c r="C56" s="16" t="s">
        <v>1</v>
      </c>
      <c r="D56" s="17" t="s">
        <v>7</v>
      </c>
      <c r="E56" s="34">
        <f>E44+E48+E52</f>
        <v>0</v>
      </c>
      <c r="F56" s="34">
        <f t="shared" ref="F56:H58" si="3">F44+F48+F52</f>
        <v>43652472</v>
      </c>
      <c r="G56" s="34">
        <f>G44+G48+G52</f>
        <v>-27408419</v>
      </c>
      <c r="H56" s="34">
        <f t="shared" si="3"/>
        <v>16244053</v>
      </c>
      <c r="I56" s="19"/>
      <c r="J56" s="458" t="s">
        <v>56</v>
      </c>
      <c r="K56" s="16" t="s">
        <v>1</v>
      </c>
      <c r="L56" s="17" t="s">
        <v>7</v>
      </c>
      <c r="M56" s="34">
        <f>M44+M48+M52</f>
        <v>319924125</v>
      </c>
      <c r="N56" s="34">
        <f t="shared" ref="N56:P58" si="4">N44+N48+N52</f>
        <v>365159604</v>
      </c>
      <c r="O56" s="34">
        <f t="shared" si="4"/>
        <v>4814200</v>
      </c>
      <c r="P56" s="35">
        <f t="shared" si="4"/>
        <v>369973804</v>
      </c>
    </row>
    <row r="57" spans="1:16" s="1" customFormat="1" ht="18" customHeight="1" x14ac:dyDescent="0.25">
      <c r="A57" s="15"/>
      <c r="B57" s="457"/>
      <c r="C57" s="16" t="s">
        <v>2</v>
      </c>
      <c r="D57" s="17" t="s">
        <v>9</v>
      </c>
      <c r="E57" s="34">
        <f>E45+E49+E53</f>
        <v>0</v>
      </c>
      <c r="F57" s="34">
        <f t="shared" si="3"/>
        <v>0</v>
      </c>
      <c r="G57" s="34">
        <f t="shared" si="3"/>
        <v>0</v>
      </c>
      <c r="H57" s="34">
        <f t="shared" si="3"/>
        <v>0</v>
      </c>
      <c r="I57" s="19"/>
      <c r="J57" s="458"/>
      <c r="K57" s="16" t="s">
        <v>2</v>
      </c>
      <c r="L57" s="17" t="s">
        <v>9</v>
      </c>
      <c r="M57" s="34">
        <v>0</v>
      </c>
      <c r="N57" s="34">
        <f t="shared" si="4"/>
        <v>0</v>
      </c>
      <c r="O57" s="34">
        <f t="shared" si="4"/>
        <v>0</v>
      </c>
      <c r="P57" s="35">
        <f t="shared" si="4"/>
        <v>0</v>
      </c>
    </row>
    <row r="58" spans="1:16" s="1" customFormat="1" ht="18" customHeight="1" x14ac:dyDescent="0.25">
      <c r="A58" s="15"/>
      <c r="B58" s="457"/>
      <c r="C58" s="20" t="s">
        <v>4</v>
      </c>
      <c r="D58" s="21" t="s">
        <v>8</v>
      </c>
      <c r="E58" s="34">
        <f>E46+E50+E54</f>
        <v>0</v>
      </c>
      <c r="F58" s="34">
        <f t="shared" si="3"/>
        <v>0</v>
      </c>
      <c r="G58" s="34">
        <f t="shared" si="3"/>
        <v>0</v>
      </c>
      <c r="H58" s="34">
        <f t="shared" si="3"/>
        <v>0</v>
      </c>
      <c r="I58" s="19"/>
      <c r="J58" s="459"/>
      <c r="K58" s="20" t="s">
        <v>4</v>
      </c>
      <c r="L58" s="21" t="s">
        <v>8</v>
      </c>
      <c r="M58" s="36">
        <f>M46+M50+M54</f>
        <v>0</v>
      </c>
      <c r="N58" s="36">
        <f t="shared" si="4"/>
        <v>0</v>
      </c>
      <c r="O58" s="36">
        <f t="shared" si="4"/>
        <v>0</v>
      </c>
      <c r="P58" s="37">
        <f t="shared" si="4"/>
        <v>0</v>
      </c>
    </row>
    <row r="59" spans="1:16" s="25" customFormat="1" ht="31.5" customHeight="1" thickBot="1" x14ac:dyDescent="0.3">
      <c r="A59" s="460" t="s">
        <v>86</v>
      </c>
      <c r="B59" s="461"/>
      <c r="C59" s="461"/>
      <c r="D59" s="461"/>
      <c r="E59" s="335">
        <f>M55-E55</f>
        <v>319924125</v>
      </c>
      <c r="F59" s="336">
        <f>N55-F55</f>
        <v>321507132</v>
      </c>
      <c r="G59" s="336">
        <f>O55-G55</f>
        <v>32222619</v>
      </c>
      <c r="H59" s="336">
        <f>P55-H55</f>
        <v>353729751</v>
      </c>
      <c r="I59" s="460" t="s">
        <v>87</v>
      </c>
      <c r="J59" s="461"/>
      <c r="K59" s="461"/>
      <c r="L59" s="461"/>
      <c r="M59" s="323"/>
      <c r="N59" s="325"/>
      <c r="O59" s="326"/>
      <c r="P59" s="327"/>
    </row>
    <row r="60" spans="1:16" s="1" customFormat="1" ht="18" customHeight="1" x14ac:dyDescent="0.25">
      <c r="A60" s="23" t="s">
        <v>30</v>
      </c>
      <c r="B60" s="462" t="s">
        <v>31</v>
      </c>
      <c r="C60" s="463"/>
      <c r="D60" s="464"/>
      <c r="E60" s="40">
        <f>SUM(E61:E63)</f>
        <v>860116139</v>
      </c>
      <c r="F60" s="40">
        <f>F61+F62+F63</f>
        <v>1143026729</v>
      </c>
      <c r="G60" s="40">
        <f>G61+G62+G63</f>
        <v>25789905</v>
      </c>
      <c r="H60" s="40">
        <f>H61+H62+H63</f>
        <v>1168816634</v>
      </c>
      <c r="I60" s="22" t="s">
        <v>30</v>
      </c>
      <c r="J60" s="465" t="s">
        <v>33</v>
      </c>
      <c r="K60" s="466"/>
      <c r="L60" s="466"/>
      <c r="M60" s="38">
        <f>SUM(M61:M63)</f>
        <v>1255123129</v>
      </c>
      <c r="N60" s="38">
        <f>N61+N62+N63</f>
        <v>1610201628</v>
      </c>
      <c r="O60" s="38">
        <f>O61+O62+O63</f>
        <v>20027672</v>
      </c>
      <c r="P60" s="39">
        <f>P61+P62+P63</f>
        <v>1630229300</v>
      </c>
    </row>
    <row r="61" spans="1:16" s="1" customFormat="1" ht="18" customHeight="1" x14ac:dyDescent="0.25">
      <c r="A61" s="15"/>
      <c r="B61" s="467" t="s">
        <v>73</v>
      </c>
      <c r="C61" s="16" t="s">
        <v>1</v>
      </c>
      <c r="D61" s="17" t="s">
        <v>7</v>
      </c>
      <c r="E61" s="36">
        <f>E37+E56</f>
        <v>860116139</v>
      </c>
      <c r="F61" s="36">
        <f>F37+F56</f>
        <v>1143026729</v>
      </c>
      <c r="G61" s="36">
        <f t="shared" ref="G61:H63" si="5">G37+G56</f>
        <v>25789905</v>
      </c>
      <c r="H61" s="36">
        <f t="shared" si="5"/>
        <v>1168816634</v>
      </c>
      <c r="I61" s="470"/>
      <c r="J61" s="472" t="s">
        <v>72</v>
      </c>
      <c r="K61" s="16" t="s">
        <v>1</v>
      </c>
      <c r="L61" s="17" t="s">
        <v>7</v>
      </c>
      <c r="M61" s="36">
        <f>M37+M56</f>
        <v>1244855629</v>
      </c>
      <c r="N61" s="36">
        <f t="shared" ref="N61:P63" si="6">N37+N56</f>
        <v>1596186117</v>
      </c>
      <c r="O61" s="36">
        <f t="shared" si="6"/>
        <v>20027672</v>
      </c>
      <c r="P61" s="37">
        <f t="shared" si="6"/>
        <v>1616213789</v>
      </c>
    </row>
    <row r="62" spans="1:16" s="1" customFormat="1" ht="18" customHeight="1" x14ac:dyDescent="0.25">
      <c r="A62" s="15"/>
      <c r="B62" s="468"/>
      <c r="C62" s="16" t="s">
        <v>2</v>
      </c>
      <c r="D62" s="17" t="s">
        <v>9</v>
      </c>
      <c r="E62" s="36">
        <v>0</v>
      </c>
      <c r="F62" s="36">
        <f>F38+F57</f>
        <v>0</v>
      </c>
      <c r="G62" s="36">
        <f t="shared" si="5"/>
        <v>0</v>
      </c>
      <c r="H62" s="36">
        <f t="shared" si="5"/>
        <v>0</v>
      </c>
      <c r="I62" s="470"/>
      <c r="J62" s="472"/>
      <c r="K62" s="16" t="s">
        <v>2</v>
      </c>
      <c r="L62" s="17" t="s">
        <v>9</v>
      </c>
      <c r="M62" s="36">
        <f>M38+M57</f>
        <v>10267500</v>
      </c>
      <c r="N62" s="36">
        <f t="shared" si="6"/>
        <v>14015511</v>
      </c>
      <c r="O62" s="36">
        <f t="shared" si="6"/>
        <v>0</v>
      </c>
      <c r="P62" s="37">
        <f t="shared" si="6"/>
        <v>14015511</v>
      </c>
    </row>
    <row r="63" spans="1:16" s="1" customFormat="1" ht="18" customHeight="1" x14ac:dyDescent="0.25">
      <c r="A63" s="18"/>
      <c r="B63" s="469"/>
      <c r="C63" s="16" t="s">
        <v>4</v>
      </c>
      <c r="D63" s="17" t="s">
        <v>8</v>
      </c>
      <c r="E63" s="34">
        <v>0</v>
      </c>
      <c r="F63" s="34">
        <f>F39+F58</f>
        <v>0</v>
      </c>
      <c r="G63" s="34">
        <f t="shared" si="5"/>
        <v>0</v>
      </c>
      <c r="H63" s="34">
        <f t="shared" si="5"/>
        <v>0</v>
      </c>
      <c r="I63" s="471"/>
      <c r="J63" s="472"/>
      <c r="K63" s="16" t="s">
        <v>4</v>
      </c>
      <c r="L63" s="17" t="s">
        <v>8</v>
      </c>
      <c r="M63" s="34">
        <v>0</v>
      </c>
      <c r="N63" s="34">
        <f t="shared" si="6"/>
        <v>0</v>
      </c>
      <c r="O63" s="34">
        <f t="shared" si="6"/>
        <v>0</v>
      </c>
      <c r="P63" s="35">
        <f t="shared" si="6"/>
        <v>0</v>
      </c>
    </row>
    <row r="64" spans="1:16" s="7" customFormat="1" ht="30" customHeight="1" thickBot="1" x14ac:dyDescent="0.3">
      <c r="A64" s="450" t="s">
        <v>60</v>
      </c>
      <c r="B64" s="451"/>
      <c r="C64" s="451"/>
      <c r="D64" s="452"/>
      <c r="E64" s="324">
        <f>M60-E60</f>
        <v>395006990</v>
      </c>
      <c r="F64" s="324">
        <f>N60-F60</f>
        <v>467174899</v>
      </c>
      <c r="G64" s="328"/>
      <c r="H64" s="329">
        <f>P60-H60</f>
        <v>461412666</v>
      </c>
      <c r="I64" s="450" t="s">
        <v>61</v>
      </c>
      <c r="J64" s="451"/>
      <c r="K64" s="451"/>
      <c r="L64" s="452"/>
      <c r="M64" s="330"/>
      <c r="N64" s="330"/>
      <c r="O64" s="330">
        <f>G60-O60</f>
        <v>5762233</v>
      </c>
      <c r="P64" s="331"/>
    </row>
    <row r="65" spans="1:16" s="1" customFormat="1" ht="18" customHeight="1" x14ac:dyDescent="0.25">
      <c r="A65" s="129" t="s">
        <v>34</v>
      </c>
      <c r="B65" s="439" t="s">
        <v>32</v>
      </c>
      <c r="C65" s="440"/>
      <c r="D65" s="441"/>
      <c r="E65" s="130">
        <f>SUM(E66:E67)</f>
        <v>704246496</v>
      </c>
      <c r="F65" s="130">
        <f>F66+F67</f>
        <v>882440225</v>
      </c>
      <c r="G65" s="130">
        <f>G66+G67</f>
        <v>12444000</v>
      </c>
      <c r="H65" s="130">
        <f>H66+H67</f>
        <v>894884225</v>
      </c>
      <c r="I65" s="131" t="s">
        <v>34</v>
      </c>
      <c r="J65" s="442" t="s">
        <v>45</v>
      </c>
      <c r="K65" s="443"/>
      <c r="L65" s="444"/>
      <c r="M65" s="132">
        <f>SUM(M66:M67)</f>
        <v>309239506</v>
      </c>
      <c r="N65" s="132">
        <f>N66+N67</f>
        <v>415265326</v>
      </c>
      <c r="O65" s="132">
        <f>O66+O67</f>
        <v>18206233</v>
      </c>
      <c r="P65" s="133">
        <f>P66+P67</f>
        <v>433471559</v>
      </c>
    </row>
    <row r="66" spans="1:16" s="1" customFormat="1" ht="18" customHeight="1" x14ac:dyDescent="0.25">
      <c r="A66" s="134"/>
      <c r="B66" s="445" t="s">
        <v>62</v>
      </c>
      <c r="C66" s="111" t="s">
        <v>1</v>
      </c>
      <c r="D66" s="112" t="s">
        <v>74</v>
      </c>
      <c r="E66" s="113">
        <v>704246496</v>
      </c>
      <c r="F66" s="113">
        <v>882440225</v>
      </c>
      <c r="G66" s="114">
        <v>0</v>
      </c>
      <c r="H66" s="115">
        <f>+G66+F66</f>
        <v>882440225</v>
      </c>
      <c r="I66" s="134"/>
      <c r="J66" s="445" t="s">
        <v>57</v>
      </c>
      <c r="K66" s="111" t="s">
        <v>1</v>
      </c>
      <c r="L66" s="112" t="s">
        <v>77</v>
      </c>
      <c r="M66" s="113">
        <v>296795506</v>
      </c>
      <c r="N66" s="113">
        <v>402821326</v>
      </c>
      <c r="O66" s="116">
        <v>5762233</v>
      </c>
      <c r="P66" s="115">
        <f>+O66+N66</f>
        <v>408583559</v>
      </c>
    </row>
    <row r="67" spans="1:16" s="1" customFormat="1" ht="18" customHeight="1" x14ac:dyDescent="0.25">
      <c r="A67" s="134"/>
      <c r="B67" s="446"/>
      <c r="C67" s="111" t="s">
        <v>2</v>
      </c>
      <c r="D67" s="112" t="s">
        <v>75</v>
      </c>
      <c r="E67" s="113">
        <v>0</v>
      </c>
      <c r="F67" s="113">
        <v>0</v>
      </c>
      <c r="G67" s="114">
        <v>12444000</v>
      </c>
      <c r="H67" s="115">
        <f>+G67+F67</f>
        <v>12444000</v>
      </c>
      <c r="I67" s="134"/>
      <c r="J67" s="446"/>
      <c r="K67" s="111" t="s">
        <v>2</v>
      </c>
      <c r="L67" s="112" t="s">
        <v>76</v>
      </c>
      <c r="M67" s="113">
        <v>12444000</v>
      </c>
      <c r="N67" s="113">
        <v>12444000</v>
      </c>
      <c r="O67" s="116">
        <v>12444000</v>
      </c>
      <c r="P67" s="115">
        <f>+O67+N67</f>
        <v>24888000</v>
      </c>
    </row>
    <row r="68" spans="1:16" s="6" customFormat="1" ht="18" customHeight="1" x14ac:dyDescent="0.25">
      <c r="A68" s="302" t="s">
        <v>35</v>
      </c>
      <c r="B68" s="447" t="s">
        <v>24</v>
      </c>
      <c r="C68" s="448"/>
      <c r="D68" s="449"/>
      <c r="E68" s="303">
        <f>SUM(E69:E71)</f>
        <v>1564362635</v>
      </c>
      <c r="F68" s="303">
        <f>F69+F70+F71</f>
        <v>2025466954</v>
      </c>
      <c r="G68" s="303">
        <f>G69+G70+G71</f>
        <v>38233905</v>
      </c>
      <c r="H68" s="303">
        <f>H69+H70+H71</f>
        <v>2063700859</v>
      </c>
      <c r="I68" s="304" t="s">
        <v>35</v>
      </c>
      <c r="J68" s="447" t="s">
        <v>25</v>
      </c>
      <c r="K68" s="448"/>
      <c r="L68" s="449"/>
      <c r="M68" s="303">
        <f>SUM(M69:M71)</f>
        <v>1564362635</v>
      </c>
      <c r="N68" s="303">
        <f>N69+N70+N71</f>
        <v>2025466954</v>
      </c>
      <c r="O68" s="303">
        <f>O69+O70+O71</f>
        <v>38233905</v>
      </c>
      <c r="P68" s="305">
        <f>P69+P70+P71</f>
        <v>2063700859</v>
      </c>
    </row>
    <row r="69" spans="1:16" s="6" customFormat="1" ht="18" customHeight="1" x14ac:dyDescent="0.25">
      <c r="A69" s="306"/>
      <c r="B69" s="435" t="s">
        <v>59</v>
      </c>
      <c r="C69" s="307" t="s">
        <v>1</v>
      </c>
      <c r="D69" s="308" t="s">
        <v>7</v>
      </c>
      <c r="E69" s="309">
        <f>E61+E66+E67</f>
        <v>1564362635</v>
      </c>
      <c r="F69" s="309">
        <f>F61+F66+F67</f>
        <v>2025466954</v>
      </c>
      <c r="G69" s="309">
        <f>G61+G66+G67</f>
        <v>38233905</v>
      </c>
      <c r="H69" s="309">
        <f>H61+H66+H67</f>
        <v>2063700859</v>
      </c>
      <c r="I69" s="310"/>
      <c r="J69" s="435" t="s">
        <v>58</v>
      </c>
      <c r="K69" s="307" t="s">
        <v>1</v>
      </c>
      <c r="L69" s="308" t="s">
        <v>7</v>
      </c>
      <c r="M69" s="309">
        <f>M61+M66+M67</f>
        <v>1554095135</v>
      </c>
      <c r="N69" s="309">
        <f>N61+N66+N67</f>
        <v>2011451443</v>
      </c>
      <c r="O69" s="309">
        <f>O61+O66+O67</f>
        <v>38233905</v>
      </c>
      <c r="P69" s="311">
        <f>P61+P66+P67</f>
        <v>2049685348</v>
      </c>
    </row>
    <row r="70" spans="1:16" s="6" customFormat="1" ht="18" customHeight="1" x14ac:dyDescent="0.25">
      <c r="A70" s="306"/>
      <c r="B70" s="436"/>
      <c r="C70" s="307" t="s">
        <v>2</v>
      </c>
      <c r="D70" s="308" t="s">
        <v>9</v>
      </c>
      <c r="E70" s="309">
        <v>0</v>
      </c>
      <c r="F70" s="309">
        <f t="shared" ref="F70:H71" si="7">F62</f>
        <v>0</v>
      </c>
      <c r="G70" s="309">
        <f t="shared" si="7"/>
        <v>0</v>
      </c>
      <c r="H70" s="309">
        <f t="shared" si="7"/>
        <v>0</v>
      </c>
      <c r="I70" s="310"/>
      <c r="J70" s="436"/>
      <c r="K70" s="307" t="s">
        <v>2</v>
      </c>
      <c r="L70" s="308" t="s">
        <v>9</v>
      </c>
      <c r="M70" s="309">
        <f>M62</f>
        <v>10267500</v>
      </c>
      <c r="N70" s="309">
        <f>N62</f>
        <v>14015511</v>
      </c>
      <c r="O70" s="309">
        <f t="shared" ref="N70:P71" si="8">O62</f>
        <v>0</v>
      </c>
      <c r="P70" s="311">
        <f t="shared" si="8"/>
        <v>14015511</v>
      </c>
    </row>
    <row r="71" spans="1:16" s="6" customFormat="1" ht="18" customHeight="1" thickBot="1" x14ac:dyDescent="0.3">
      <c r="A71" s="312"/>
      <c r="B71" s="437"/>
      <c r="C71" s="313" t="s">
        <v>4</v>
      </c>
      <c r="D71" s="314" t="s">
        <v>8</v>
      </c>
      <c r="E71" s="315">
        <v>0</v>
      </c>
      <c r="F71" s="315">
        <f t="shared" si="7"/>
        <v>0</v>
      </c>
      <c r="G71" s="315">
        <f t="shared" si="7"/>
        <v>0</v>
      </c>
      <c r="H71" s="315">
        <f t="shared" si="7"/>
        <v>0</v>
      </c>
      <c r="I71" s="316"/>
      <c r="J71" s="437"/>
      <c r="K71" s="313" t="s">
        <v>4</v>
      </c>
      <c r="L71" s="314" t="s">
        <v>8</v>
      </c>
      <c r="M71" s="315">
        <v>0</v>
      </c>
      <c r="N71" s="315">
        <f t="shared" si="8"/>
        <v>0</v>
      </c>
      <c r="O71" s="315">
        <f t="shared" si="8"/>
        <v>0</v>
      </c>
      <c r="P71" s="317">
        <f t="shared" si="8"/>
        <v>0</v>
      </c>
    </row>
    <row r="74" spans="1:16" x14ac:dyDescent="0.25">
      <c r="A74" s="438"/>
      <c r="B74" s="438"/>
      <c r="C74" s="438"/>
      <c r="D74" s="438"/>
      <c r="E74" s="438"/>
      <c r="F74" s="438"/>
      <c r="G74" s="31"/>
      <c r="H74" s="31"/>
    </row>
  </sheetData>
  <sheetProtection formatCells="0"/>
  <mergeCells count="78">
    <mergeCell ref="A7:P7"/>
    <mergeCell ref="K1:P1"/>
    <mergeCell ref="K2:P2"/>
    <mergeCell ref="A4:P4"/>
    <mergeCell ref="A5:P5"/>
    <mergeCell ref="A6:P6"/>
    <mergeCell ref="A8:P8"/>
    <mergeCell ref="D9:L9"/>
    <mergeCell ref="A10:F10"/>
    <mergeCell ref="I10:P10"/>
    <mergeCell ref="C11:D11"/>
    <mergeCell ref="K11:L11"/>
    <mergeCell ref="A12:P12"/>
    <mergeCell ref="B13:D13"/>
    <mergeCell ref="J13:L13"/>
    <mergeCell ref="B14:B17"/>
    <mergeCell ref="C14:D14"/>
    <mergeCell ref="J14:J17"/>
    <mergeCell ref="K14:L14"/>
    <mergeCell ref="B18:B21"/>
    <mergeCell ref="C18:D18"/>
    <mergeCell ref="J18:J21"/>
    <mergeCell ref="K18:L18"/>
    <mergeCell ref="B22:B25"/>
    <mergeCell ref="C22:D22"/>
    <mergeCell ref="J22:J25"/>
    <mergeCell ref="K22:L22"/>
    <mergeCell ref="A40:D40"/>
    <mergeCell ref="I40:L40"/>
    <mergeCell ref="B26:B29"/>
    <mergeCell ref="C26:D26"/>
    <mergeCell ref="J26:J29"/>
    <mergeCell ref="K26:L26"/>
    <mergeCell ref="A30:H35"/>
    <mergeCell ref="J30:J35"/>
    <mergeCell ref="K30:L30"/>
    <mergeCell ref="B36:D36"/>
    <mergeCell ref="J36:L36"/>
    <mergeCell ref="B37:B39"/>
    <mergeCell ref="I37:I39"/>
    <mergeCell ref="J37:J39"/>
    <mergeCell ref="A41:P41"/>
    <mergeCell ref="B42:D42"/>
    <mergeCell ref="J42:L42"/>
    <mergeCell ref="B43:B46"/>
    <mergeCell ref="C43:D43"/>
    <mergeCell ref="J43:J46"/>
    <mergeCell ref="K43:L43"/>
    <mergeCell ref="B47:B50"/>
    <mergeCell ref="C47:D47"/>
    <mergeCell ref="J47:J50"/>
    <mergeCell ref="K47:L47"/>
    <mergeCell ref="B51:B54"/>
    <mergeCell ref="C51:D51"/>
    <mergeCell ref="J51:J54"/>
    <mergeCell ref="K51:L51"/>
    <mergeCell ref="A64:D64"/>
    <mergeCell ref="I64:L64"/>
    <mergeCell ref="B55:D55"/>
    <mergeCell ref="J55:L55"/>
    <mergeCell ref="B56:B58"/>
    <mergeCell ref="J56:J58"/>
    <mergeCell ref="A59:D59"/>
    <mergeCell ref="I59:L59"/>
    <mergeCell ref="B60:D60"/>
    <mergeCell ref="J60:L60"/>
    <mergeCell ref="B61:B63"/>
    <mergeCell ref="I61:I63"/>
    <mergeCell ref="J61:J63"/>
    <mergeCell ref="B69:B71"/>
    <mergeCell ref="J69:J71"/>
    <mergeCell ref="A74:F74"/>
    <mergeCell ref="B65:D65"/>
    <mergeCell ref="J65:L65"/>
    <mergeCell ref="B66:B67"/>
    <mergeCell ref="J66:J67"/>
    <mergeCell ref="B68:D68"/>
    <mergeCell ref="J68:L68"/>
  </mergeCells>
  <printOptions horizontalCentered="1"/>
  <pageMargins left="0.19685039370078741" right="0.19685039370078741" top="3.937007874015748E-2" bottom="0" header="0.43307086614173229" footer="0.51181102362204722"/>
  <pageSetup paperSize="9" scale="61" orientation="landscape" horizontalDpi="300" verticalDpi="300" r:id="rId1"/>
  <headerFooter alignWithMargins="0"/>
  <rowBreaks count="1" manualBreakCount="1">
    <brk id="4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CB1E8-143F-41D4-BA84-E168E93A5DA5}">
  <sheetPr>
    <tabColor theme="7" tint="0.59999389629810485"/>
  </sheetPr>
  <dimension ref="A1:T74"/>
  <sheetViews>
    <sheetView zoomScaleNormal="100" workbookViewId="0">
      <selection activeCell="S10" sqref="S10"/>
    </sheetView>
  </sheetViews>
  <sheetFormatPr defaultColWidth="9.109375" defaultRowHeight="13.2" x14ac:dyDescent="0.25"/>
  <cols>
    <col min="1" max="1" width="5.5546875" style="43" customWidth="1"/>
    <col min="2" max="2" width="4.33203125" style="43" customWidth="1"/>
    <col min="3" max="3" width="3.6640625" style="29" customWidth="1"/>
    <col min="4" max="4" width="45.6640625" style="29" customWidth="1"/>
    <col min="5" max="5" width="13.6640625" style="29" customWidth="1"/>
    <col min="6" max="8" width="13.6640625" style="44" customWidth="1"/>
    <col min="9" max="9" width="6.5546875" style="45" customWidth="1"/>
    <col min="10" max="10" width="4.33203125" style="45" customWidth="1"/>
    <col min="11" max="11" width="3.6640625" style="45" customWidth="1"/>
    <col min="12" max="12" width="45.6640625" style="29" customWidth="1"/>
    <col min="13" max="15" width="13.6640625" style="29" customWidth="1"/>
    <col min="16" max="16" width="13.6640625" style="44" customWidth="1"/>
    <col min="17" max="16384" width="9.109375" style="29"/>
  </cols>
  <sheetData>
    <row r="1" spans="1:20" s="3" customFormat="1" ht="13.8" x14ac:dyDescent="0.25">
      <c r="A1" s="31"/>
      <c r="B1" s="31"/>
      <c r="E1" s="4"/>
      <c r="F1" s="4"/>
      <c r="G1" s="4"/>
      <c r="H1" s="9"/>
      <c r="I1" s="9"/>
      <c r="J1" s="9"/>
      <c r="K1" s="434" t="s">
        <v>236</v>
      </c>
      <c r="L1" s="434"/>
      <c r="M1" s="434"/>
      <c r="N1" s="434"/>
      <c r="O1" s="434"/>
      <c r="P1" s="434"/>
      <c r="Q1" s="28"/>
      <c r="R1" s="28"/>
      <c r="S1" s="28"/>
      <c r="T1" s="28"/>
    </row>
    <row r="2" spans="1:20" s="3" customFormat="1" ht="13.8" x14ac:dyDescent="0.25">
      <c r="A2" s="31"/>
      <c r="B2" s="31"/>
      <c r="E2" s="4"/>
      <c r="F2" s="4"/>
      <c r="G2" s="4"/>
      <c r="H2" s="9"/>
      <c r="I2" s="9"/>
      <c r="J2" s="9"/>
      <c r="K2" s="434" t="s">
        <v>96</v>
      </c>
      <c r="L2" s="434"/>
      <c r="M2" s="434"/>
      <c r="N2" s="434"/>
      <c r="O2" s="434"/>
      <c r="P2" s="434"/>
      <c r="Q2" s="28"/>
      <c r="R2" s="28"/>
      <c r="S2" s="28"/>
      <c r="T2" s="28"/>
    </row>
    <row r="3" spans="1:20" s="3" customFormat="1" ht="13.8" x14ac:dyDescent="0.25">
      <c r="A3" s="31"/>
      <c r="B3" s="31"/>
      <c r="E3" s="4"/>
      <c r="F3" s="4"/>
      <c r="G3" s="4"/>
      <c r="H3" s="9"/>
      <c r="I3" s="9"/>
      <c r="J3" s="9"/>
      <c r="K3" s="30"/>
      <c r="L3" s="30"/>
      <c r="M3" s="30"/>
      <c r="N3" s="30"/>
      <c r="O3" s="28"/>
      <c r="P3" s="28"/>
      <c r="Q3" s="28"/>
      <c r="R3" s="28"/>
      <c r="S3" s="28"/>
      <c r="T3" s="28"/>
    </row>
    <row r="4" spans="1:20" s="3" customFormat="1" ht="15.9" customHeight="1" x14ac:dyDescent="0.3">
      <c r="A4" s="525" t="s">
        <v>249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525"/>
    </row>
    <row r="5" spans="1:20" s="3" customFormat="1" ht="15.9" customHeight="1" x14ac:dyDescent="0.3">
      <c r="A5" s="525" t="s">
        <v>23</v>
      </c>
      <c r="B5" s="525"/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5"/>
      <c r="N5" s="525"/>
      <c r="O5" s="525"/>
      <c r="P5" s="525"/>
    </row>
    <row r="6" spans="1:20" s="3" customFormat="1" ht="15.9" customHeight="1" x14ac:dyDescent="0.3">
      <c r="A6" s="525" t="s">
        <v>40</v>
      </c>
      <c r="B6" s="525"/>
      <c r="C6" s="525"/>
      <c r="D6" s="525"/>
      <c r="E6" s="525"/>
      <c r="F6" s="525"/>
      <c r="G6" s="525"/>
      <c r="H6" s="525"/>
      <c r="I6" s="525"/>
      <c r="J6" s="525"/>
      <c r="K6" s="525"/>
      <c r="L6" s="525"/>
      <c r="M6" s="525"/>
      <c r="N6" s="525"/>
      <c r="O6" s="525"/>
      <c r="P6" s="525"/>
    </row>
    <row r="7" spans="1:20" s="3" customFormat="1" ht="15.9" customHeight="1" x14ac:dyDescent="0.3">
      <c r="A7" s="525" t="s">
        <v>97</v>
      </c>
      <c r="B7" s="525"/>
      <c r="C7" s="525"/>
      <c r="D7" s="525"/>
      <c r="E7" s="525"/>
      <c r="F7" s="525"/>
      <c r="G7" s="525"/>
      <c r="H7" s="525"/>
      <c r="I7" s="525"/>
      <c r="J7" s="525"/>
      <c r="K7" s="525"/>
      <c r="L7" s="525"/>
      <c r="M7" s="525"/>
      <c r="N7" s="525"/>
      <c r="O7" s="525"/>
      <c r="P7" s="525"/>
    </row>
    <row r="8" spans="1:20" s="3" customFormat="1" ht="15.9" customHeight="1" x14ac:dyDescent="0.3">
      <c r="A8" s="425" t="s">
        <v>243</v>
      </c>
      <c r="B8" s="425"/>
      <c r="C8" s="425"/>
      <c r="D8" s="425"/>
      <c r="E8" s="425"/>
      <c r="F8" s="425"/>
      <c r="G8" s="425"/>
      <c r="H8" s="425"/>
      <c r="I8" s="425"/>
      <c r="J8" s="425"/>
      <c r="K8" s="425"/>
      <c r="L8" s="425"/>
      <c r="M8" s="425"/>
      <c r="N8" s="425"/>
      <c r="O8" s="425"/>
      <c r="P8" s="425"/>
    </row>
    <row r="9" spans="1:20" ht="15.9" customHeight="1" thickBot="1" x14ac:dyDescent="0.4">
      <c r="D9" s="426"/>
      <c r="E9" s="426"/>
      <c r="F9" s="426"/>
      <c r="G9" s="426"/>
      <c r="H9" s="426"/>
      <c r="I9" s="426"/>
      <c r="J9" s="426"/>
      <c r="K9" s="426"/>
      <c r="L9" s="426"/>
      <c r="M9" s="46"/>
      <c r="N9" s="46"/>
      <c r="O9" s="46"/>
      <c r="P9" s="47" t="s">
        <v>101</v>
      </c>
    </row>
    <row r="10" spans="1:20" s="48" customFormat="1" ht="21.9" customHeight="1" x14ac:dyDescent="0.25">
      <c r="A10" s="427" t="s">
        <v>38</v>
      </c>
      <c r="B10" s="428"/>
      <c r="C10" s="428"/>
      <c r="D10" s="428"/>
      <c r="E10" s="428"/>
      <c r="F10" s="428"/>
      <c r="G10" s="265"/>
      <c r="H10" s="265"/>
      <c r="I10" s="427" t="s">
        <v>39</v>
      </c>
      <c r="J10" s="428"/>
      <c r="K10" s="428"/>
      <c r="L10" s="428"/>
      <c r="M10" s="428"/>
      <c r="N10" s="428"/>
      <c r="O10" s="428"/>
      <c r="P10" s="429"/>
    </row>
    <row r="11" spans="1:20" s="48" customFormat="1" ht="41.25" customHeight="1" thickBot="1" x14ac:dyDescent="0.3">
      <c r="A11" s="266" t="s">
        <v>78</v>
      </c>
      <c r="B11" s="267" t="s">
        <v>79</v>
      </c>
      <c r="C11" s="430"/>
      <c r="D11" s="431"/>
      <c r="E11" s="186" t="s">
        <v>28</v>
      </c>
      <c r="F11" s="268" t="s">
        <v>89</v>
      </c>
      <c r="G11" s="268" t="s">
        <v>88</v>
      </c>
      <c r="H11" s="268" t="s">
        <v>89</v>
      </c>
      <c r="I11" s="266" t="s">
        <v>78</v>
      </c>
      <c r="J11" s="267" t="s">
        <v>79</v>
      </c>
      <c r="K11" s="432"/>
      <c r="L11" s="433"/>
      <c r="M11" s="186" t="s">
        <v>28</v>
      </c>
      <c r="N11" s="268" t="s">
        <v>89</v>
      </c>
      <c r="O11" s="268" t="s">
        <v>88</v>
      </c>
      <c r="P11" s="269" t="s">
        <v>89</v>
      </c>
    </row>
    <row r="12" spans="1:20" s="49" customFormat="1" ht="18" customHeight="1" x14ac:dyDescent="0.25">
      <c r="A12" s="392" t="s">
        <v>37</v>
      </c>
      <c r="B12" s="393"/>
      <c r="C12" s="393"/>
      <c r="D12" s="393"/>
      <c r="E12" s="393"/>
      <c r="F12" s="393"/>
      <c r="G12" s="393"/>
      <c r="H12" s="393"/>
      <c r="I12" s="393"/>
      <c r="J12" s="393"/>
      <c r="K12" s="393"/>
      <c r="L12" s="393"/>
      <c r="M12" s="393"/>
      <c r="N12" s="393"/>
      <c r="O12" s="393"/>
      <c r="P12" s="394"/>
    </row>
    <row r="13" spans="1:20" s="55" customFormat="1" ht="18" customHeight="1" x14ac:dyDescent="0.25">
      <c r="A13" s="50" t="s">
        <v>0</v>
      </c>
      <c r="B13" s="395" t="s">
        <v>36</v>
      </c>
      <c r="C13" s="396"/>
      <c r="D13" s="397"/>
      <c r="E13" s="105">
        <f>E14+E18+E22+E26</f>
        <v>3939167</v>
      </c>
      <c r="F13" s="51">
        <f>F14+F18+F22+F26</f>
        <v>29035731</v>
      </c>
      <c r="G13" s="135">
        <f>G14+G18+G22+G26</f>
        <v>33900000</v>
      </c>
      <c r="H13" s="51">
        <f>H14+H18+H22+H26</f>
        <v>62935731</v>
      </c>
      <c r="I13" s="52" t="s">
        <v>0</v>
      </c>
      <c r="J13" s="422" t="s">
        <v>17</v>
      </c>
      <c r="K13" s="423"/>
      <c r="L13" s="424"/>
      <c r="M13" s="53">
        <f>M14+M18+M22+M26+M30</f>
        <v>300099673</v>
      </c>
      <c r="N13" s="53">
        <f>N14+N18+N22+N26+N30</f>
        <v>447272134</v>
      </c>
      <c r="O13" s="136">
        <f>O14+O18+O22+O30+O26</f>
        <v>39662233</v>
      </c>
      <c r="P13" s="54">
        <f>P14+P18+P22+P30+P26</f>
        <v>486934367</v>
      </c>
    </row>
    <row r="14" spans="1:20" s="49" customFormat="1" ht="18" customHeight="1" x14ac:dyDescent="0.25">
      <c r="A14" s="56"/>
      <c r="B14" s="381" t="s">
        <v>51</v>
      </c>
      <c r="C14" s="401" t="s">
        <v>43</v>
      </c>
      <c r="D14" s="402"/>
      <c r="E14" s="105">
        <f>E15+E16+E17</f>
        <v>3939167</v>
      </c>
      <c r="F14" s="51">
        <f>F15+F16+F17</f>
        <v>28541213</v>
      </c>
      <c r="G14" s="135">
        <f>G15+G16+G17</f>
        <v>33900000</v>
      </c>
      <c r="H14" s="51">
        <f>H15+H16+H17</f>
        <v>62441213</v>
      </c>
      <c r="I14" s="57"/>
      <c r="J14" s="386" t="s">
        <v>46</v>
      </c>
      <c r="K14" s="406" t="s">
        <v>13</v>
      </c>
      <c r="L14" s="406"/>
      <c r="M14" s="51">
        <f>SUM(M15:M17)</f>
        <v>226588704</v>
      </c>
      <c r="N14" s="51">
        <f>N15+N16+N17</f>
        <v>336700456</v>
      </c>
      <c r="O14" s="135">
        <f>O15+O16+O17</f>
        <v>31122437</v>
      </c>
      <c r="P14" s="58">
        <f>P15+P16+P17</f>
        <v>367822893</v>
      </c>
    </row>
    <row r="15" spans="1:20" s="49" customFormat="1" ht="18" customHeight="1" x14ac:dyDescent="0.25">
      <c r="A15" s="56"/>
      <c r="B15" s="382"/>
      <c r="C15" s="59" t="s">
        <v>1</v>
      </c>
      <c r="D15" s="60" t="s">
        <v>7</v>
      </c>
      <c r="E15" s="113">
        <v>3939167</v>
      </c>
      <c r="F15" s="61">
        <v>28541213</v>
      </c>
      <c r="G15" s="137">
        <v>33900000</v>
      </c>
      <c r="H15" s="62">
        <f>+G15+F15</f>
        <v>62441213</v>
      </c>
      <c r="I15" s="57"/>
      <c r="J15" s="387"/>
      <c r="K15" s="59" t="s">
        <v>1</v>
      </c>
      <c r="L15" s="60" t="s">
        <v>7</v>
      </c>
      <c r="M15" s="61">
        <v>226588704</v>
      </c>
      <c r="N15" s="61">
        <v>336700456</v>
      </c>
      <c r="O15" s="138">
        <v>31122437</v>
      </c>
      <c r="P15" s="62">
        <f>+O15+N15</f>
        <v>367822893</v>
      </c>
    </row>
    <row r="16" spans="1:20" s="49" customFormat="1" ht="18" customHeight="1" x14ac:dyDescent="0.25">
      <c r="A16" s="56"/>
      <c r="B16" s="382"/>
      <c r="C16" s="59" t="s">
        <v>2</v>
      </c>
      <c r="D16" s="60" t="s">
        <v>9</v>
      </c>
      <c r="E16" s="113">
        <v>0</v>
      </c>
      <c r="F16" s="61">
        <v>0</v>
      </c>
      <c r="G16" s="137">
        <v>0</v>
      </c>
      <c r="H16" s="62">
        <f t="shared" ref="H16:H25" si="0">+G16+F16</f>
        <v>0</v>
      </c>
      <c r="I16" s="57"/>
      <c r="J16" s="387"/>
      <c r="K16" s="59" t="s">
        <v>2</v>
      </c>
      <c r="L16" s="60" t="s">
        <v>9</v>
      </c>
      <c r="M16" s="61">
        <v>0</v>
      </c>
      <c r="N16" s="61">
        <v>0</v>
      </c>
      <c r="O16" s="138">
        <v>0</v>
      </c>
      <c r="P16" s="62">
        <f>+O16+N16</f>
        <v>0</v>
      </c>
    </row>
    <row r="17" spans="1:18" s="49" customFormat="1" ht="18" customHeight="1" x14ac:dyDescent="0.25">
      <c r="A17" s="56"/>
      <c r="B17" s="383"/>
      <c r="C17" s="59" t="s">
        <v>4</v>
      </c>
      <c r="D17" s="60" t="s">
        <v>8</v>
      </c>
      <c r="E17" s="113">
        <v>0</v>
      </c>
      <c r="F17" s="61">
        <v>0</v>
      </c>
      <c r="G17" s="137">
        <v>0</v>
      </c>
      <c r="H17" s="62">
        <f t="shared" si="0"/>
        <v>0</v>
      </c>
      <c r="I17" s="57"/>
      <c r="J17" s="388"/>
      <c r="K17" s="59" t="s">
        <v>4</v>
      </c>
      <c r="L17" s="60" t="s">
        <v>8</v>
      </c>
      <c r="M17" s="61">
        <v>0</v>
      </c>
      <c r="N17" s="61">
        <v>0</v>
      </c>
      <c r="O17" s="138">
        <v>0</v>
      </c>
      <c r="P17" s="62">
        <f>+O17+N17</f>
        <v>0</v>
      </c>
    </row>
    <row r="18" spans="1:18" s="49" customFormat="1" ht="18" customHeight="1" x14ac:dyDescent="0.25">
      <c r="A18" s="56"/>
      <c r="B18" s="381" t="s">
        <v>64</v>
      </c>
      <c r="C18" s="384" t="s">
        <v>5</v>
      </c>
      <c r="D18" s="385"/>
      <c r="E18" s="105">
        <f>E19+E20+E21</f>
        <v>0</v>
      </c>
      <c r="F18" s="51">
        <f>F19+F20+F21</f>
        <v>135000</v>
      </c>
      <c r="G18" s="135">
        <f>G19+G20+G21</f>
        <v>0</v>
      </c>
      <c r="H18" s="51">
        <f>H19+H20+H21</f>
        <v>135000</v>
      </c>
      <c r="I18" s="57"/>
      <c r="J18" s="386" t="s">
        <v>47</v>
      </c>
      <c r="K18" s="391" t="s">
        <v>16</v>
      </c>
      <c r="L18" s="391"/>
      <c r="M18" s="51">
        <f>SUM(M19:M21)</f>
        <v>36870206</v>
      </c>
      <c r="N18" s="51">
        <f>N19+N20+N21</f>
        <v>51984194</v>
      </c>
      <c r="O18" s="135">
        <f>O19+O20+O21</f>
        <v>4171796</v>
      </c>
      <c r="P18" s="58">
        <f>P19+P20+P21</f>
        <v>56155990</v>
      </c>
    </row>
    <row r="19" spans="1:18" s="49" customFormat="1" ht="18" customHeight="1" x14ac:dyDescent="0.25">
      <c r="A19" s="56"/>
      <c r="B19" s="382"/>
      <c r="C19" s="59" t="s">
        <v>1</v>
      </c>
      <c r="D19" s="60" t="s">
        <v>7</v>
      </c>
      <c r="E19" s="113">
        <v>0</v>
      </c>
      <c r="F19" s="61">
        <v>0</v>
      </c>
      <c r="G19" s="137">
        <v>0</v>
      </c>
      <c r="H19" s="62">
        <f t="shared" si="0"/>
        <v>0</v>
      </c>
      <c r="I19" s="57"/>
      <c r="J19" s="387"/>
      <c r="K19" s="59" t="s">
        <v>1</v>
      </c>
      <c r="L19" s="60" t="s">
        <v>7</v>
      </c>
      <c r="M19" s="61">
        <v>36870206</v>
      </c>
      <c r="N19" s="61">
        <v>51984194</v>
      </c>
      <c r="O19" s="138">
        <v>4171796</v>
      </c>
      <c r="P19" s="62">
        <f>+O19+N19</f>
        <v>56155990</v>
      </c>
    </row>
    <row r="20" spans="1:18" s="49" customFormat="1" ht="18" customHeight="1" x14ac:dyDescent="0.25">
      <c r="A20" s="56"/>
      <c r="B20" s="382"/>
      <c r="C20" s="59" t="s">
        <v>2</v>
      </c>
      <c r="D20" s="60" t="s">
        <v>9</v>
      </c>
      <c r="E20" s="113">
        <v>0</v>
      </c>
      <c r="F20" s="61">
        <v>0</v>
      </c>
      <c r="G20" s="137">
        <v>0</v>
      </c>
      <c r="H20" s="62">
        <f t="shared" si="0"/>
        <v>0</v>
      </c>
      <c r="I20" s="57"/>
      <c r="J20" s="387"/>
      <c r="K20" s="59" t="s">
        <v>2</v>
      </c>
      <c r="L20" s="60" t="s">
        <v>9</v>
      </c>
      <c r="M20" s="61">
        <v>0</v>
      </c>
      <c r="N20" s="61">
        <v>0</v>
      </c>
      <c r="O20" s="138">
        <v>0</v>
      </c>
      <c r="P20" s="62">
        <f>+O20+N20</f>
        <v>0</v>
      </c>
    </row>
    <row r="21" spans="1:18" s="49" customFormat="1" ht="18" customHeight="1" x14ac:dyDescent="0.25">
      <c r="A21" s="56"/>
      <c r="B21" s="383"/>
      <c r="C21" s="59" t="s">
        <v>4</v>
      </c>
      <c r="D21" s="60" t="s">
        <v>8</v>
      </c>
      <c r="E21" s="113">
        <v>0</v>
      </c>
      <c r="F21" s="61">
        <v>135000</v>
      </c>
      <c r="G21" s="137">
        <v>0</v>
      </c>
      <c r="H21" s="62">
        <f t="shared" si="0"/>
        <v>135000</v>
      </c>
      <c r="I21" s="57"/>
      <c r="J21" s="388"/>
      <c r="K21" s="59" t="s">
        <v>4</v>
      </c>
      <c r="L21" s="60" t="s">
        <v>8</v>
      </c>
      <c r="M21" s="61">
        <v>0</v>
      </c>
      <c r="N21" s="61">
        <v>0</v>
      </c>
      <c r="O21" s="138">
        <v>0</v>
      </c>
      <c r="P21" s="62">
        <f>+O21+N21</f>
        <v>0</v>
      </c>
    </row>
    <row r="22" spans="1:18" s="49" customFormat="1" ht="18" customHeight="1" x14ac:dyDescent="0.25">
      <c r="A22" s="56"/>
      <c r="B22" s="381" t="s">
        <v>65</v>
      </c>
      <c r="C22" s="384" t="s">
        <v>27</v>
      </c>
      <c r="D22" s="385"/>
      <c r="E22" s="105">
        <f>E23+E24+E25</f>
        <v>0</v>
      </c>
      <c r="F22" s="51">
        <f>F23+F24+F25</f>
        <v>359518</v>
      </c>
      <c r="G22" s="135">
        <f>G23+G24+G25</f>
        <v>0</v>
      </c>
      <c r="H22" s="51">
        <f>H23+H24+H25</f>
        <v>359518</v>
      </c>
      <c r="I22" s="57"/>
      <c r="J22" s="386" t="s">
        <v>48</v>
      </c>
      <c r="K22" s="391" t="s">
        <v>26</v>
      </c>
      <c r="L22" s="391"/>
      <c r="M22" s="51">
        <f>SUM(M23:M25)</f>
        <v>36640763</v>
      </c>
      <c r="N22" s="51">
        <f>N23+N24+N25</f>
        <v>58587484</v>
      </c>
      <c r="O22" s="135">
        <f>O23+O24+O25</f>
        <v>4368000</v>
      </c>
      <c r="P22" s="58">
        <f>P23+P24+P25</f>
        <v>62955484</v>
      </c>
    </row>
    <row r="23" spans="1:18" s="49" customFormat="1" ht="18" customHeight="1" x14ac:dyDescent="0.25">
      <c r="A23" s="56"/>
      <c r="B23" s="382"/>
      <c r="C23" s="59" t="s">
        <v>1</v>
      </c>
      <c r="D23" s="60" t="s">
        <v>7</v>
      </c>
      <c r="E23" s="113">
        <v>0</v>
      </c>
      <c r="F23" s="61">
        <v>359518</v>
      </c>
      <c r="G23" s="137">
        <v>0</v>
      </c>
      <c r="H23" s="62">
        <f t="shared" si="0"/>
        <v>359518</v>
      </c>
      <c r="I23" s="57"/>
      <c r="J23" s="387"/>
      <c r="K23" s="59" t="s">
        <v>1</v>
      </c>
      <c r="L23" s="60" t="s">
        <v>7</v>
      </c>
      <c r="M23" s="61">
        <v>36640763</v>
      </c>
      <c r="N23" s="61">
        <v>58587484</v>
      </c>
      <c r="O23" s="138">
        <v>4368000</v>
      </c>
      <c r="P23" s="62">
        <f>+O23+N23</f>
        <v>62955484</v>
      </c>
    </row>
    <row r="24" spans="1:18" s="49" customFormat="1" ht="18" customHeight="1" x14ac:dyDescent="0.25">
      <c r="A24" s="56"/>
      <c r="B24" s="382"/>
      <c r="C24" s="59" t="s">
        <v>2</v>
      </c>
      <c r="D24" s="60" t="s">
        <v>9</v>
      </c>
      <c r="E24" s="113">
        <v>0</v>
      </c>
      <c r="F24" s="61">
        <v>0</v>
      </c>
      <c r="G24" s="137">
        <v>0</v>
      </c>
      <c r="H24" s="62">
        <f t="shared" si="0"/>
        <v>0</v>
      </c>
      <c r="I24" s="57"/>
      <c r="J24" s="387"/>
      <c r="K24" s="59" t="s">
        <v>2</v>
      </c>
      <c r="L24" s="60" t="s">
        <v>9</v>
      </c>
      <c r="M24" s="61">
        <v>0</v>
      </c>
      <c r="N24" s="61">
        <v>0</v>
      </c>
      <c r="O24" s="138">
        <v>0</v>
      </c>
      <c r="P24" s="62">
        <f t="shared" ref="P24:P35" si="1">+O24+N24</f>
        <v>0</v>
      </c>
    </row>
    <row r="25" spans="1:18" s="49" customFormat="1" ht="18" customHeight="1" x14ac:dyDescent="0.25">
      <c r="A25" s="56"/>
      <c r="B25" s="383"/>
      <c r="C25" s="59" t="s">
        <v>4</v>
      </c>
      <c r="D25" s="60" t="s">
        <v>8</v>
      </c>
      <c r="E25" s="113">
        <v>0</v>
      </c>
      <c r="F25" s="61">
        <v>0</v>
      </c>
      <c r="G25" s="137">
        <v>0</v>
      </c>
      <c r="H25" s="62">
        <f t="shared" si="0"/>
        <v>0</v>
      </c>
      <c r="I25" s="57"/>
      <c r="J25" s="388"/>
      <c r="K25" s="59" t="s">
        <v>4</v>
      </c>
      <c r="L25" s="60" t="s">
        <v>8</v>
      </c>
      <c r="M25" s="61">
        <v>0</v>
      </c>
      <c r="N25" s="61">
        <v>0</v>
      </c>
      <c r="O25" s="138">
        <v>0</v>
      </c>
      <c r="P25" s="62">
        <f t="shared" si="1"/>
        <v>0</v>
      </c>
    </row>
    <row r="26" spans="1:18" s="49" customFormat="1" ht="18" customHeight="1" x14ac:dyDescent="0.25">
      <c r="A26" s="56"/>
      <c r="B26" s="381" t="s">
        <v>67</v>
      </c>
      <c r="C26" s="389" t="s">
        <v>42</v>
      </c>
      <c r="D26" s="390"/>
      <c r="E26" s="105">
        <f>E27+E28+E29</f>
        <v>0</v>
      </c>
      <c r="F26" s="51">
        <f>F27+F28+F29</f>
        <v>0</v>
      </c>
      <c r="G26" s="135">
        <f>G27+G28+G29</f>
        <v>0</v>
      </c>
      <c r="H26" s="51">
        <f>H27+H28+H29</f>
        <v>0</v>
      </c>
      <c r="I26" s="57"/>
      <c r="J26" s="386" t="s">
        <v>49</v>
      </c>
      <c r="K26" s="406" t="s">
        <v>6</v>
      </c>
      <c r="L26" s="406"/>
      <c r="M26" s="51">
        <f>SUM(M27:M29)</f>
        <v>0</v>
      </c>
      <c r="N26" s="51">
        <f>N27+N28+N29</f>
        <v>0</v>
      </c>
      <c r="O26" s="135">
        <f>O27+O28+O29</f>
        <v>0</v>
      </c>
      <c r="P26" s="58">
        <f>P27+P28+P29</f>
        <v>0</v>
      </c>
    </row>
    <row r="27" spans="1:18" s="49" customFormat="1" ht="18" customHeight="1" x14ac:dyDescent="0.25">
      <c r="A27" s="56"/>
      <c r="B27" s="382"/>
      <c r="C27" s="59" t="s">
        <v>1</v>
      </c>
      <c r="D27" s="60" t="s">
        <v>7</v>
      </c>
      <c r="E27" s="113">
        <v>0</v>
      </c>
      <c r="F27" s="61">
        <v>0</v>
      </c>
      <c r="G27" s="137">
        <v>0</v>
      </c>
      <c r="H27" s="62">
        <f>+G27+F27</f>
        <v>0</v>
      </c>
      <c r="I27" s="57"/>
      <c r="J27" s="387"/>
      <c r="K27" s="59" t="s">
        <v>1</v>
      </c>
      <c r="L27" s="60" t="s">
        <v>7</v>
      </c>
      <c r="M27" s="61">
        <v>0</v>
      </c>
      <c r="N27" s="61">
        <v>0</v>
      </c>
      <c r="O27" s="138">
        <v>0</v>
      </c>
      <c r="P27" s="62">
        <f t="shared" si="1"/>
        <v>0</v>
      </c>
    </row>
    <row r="28" spans="1:18" s="49" customFormat="1" ht="18" customHeight="1" x14ac:dyDescent="0.25">
      <c r="A28" s="56"/>
      <c r="B28" s="382"/>
      <c r="C28" s="59" t="s">
        <v>2</v>
      </c>
      <c r="D28" s="60" t="s">
        <v>9</v>
      </c>
      <c r="E28" s="113">
        <v>0</v>
      </c>
      <c r="F28" s="61">
        <v>0</v>
      </c>
      <c r="G28" s="137">
        <v>0</v>
      </c>
      <c r="H28" s="62">
        <f>+G28+F28</f>
        <v>0</v>
      </c>
      <c r="I28" s="57"/>
      <c r="J28" s="387"/>
      <c r="K28" s="59" t="s">
        <v>2</v>
      </c>
      <c r="L28" s="60" t="s">
        <v>9</v>
      </c>
      <c r="M28" s="61">
        <v>0</v>
      </c>
      <c r="N28" s="61">
        <v>0</v>
      </c>
      <c r="O28" s="138">
        <v>0</v>
      </c>
      <c r="P28" s="62">
        <f t="shared" si="1"/>
        <v>0</v>
      </c>
    </row>
    <row r="29" spans="1:18" s="49" customFormat="1" ht="18" customHeight="1" x14ac:dyDescent="0.25">
      <c r="A29" s="66"/>
      <c r="B29" s="383"/>
      <c r="C29" s="59" t="s">
        <v>4</v>
      </c>
      <c r="D29" s="60" t="s">
        <v>8</v>
      </c>
      <c r="E29" s="113">
        <v>0</v>
      </c>
      <c r="F29" s="61">
        <v>0</v>
      </c>
      <c r="G29" s="137">
        <v>0</v>
      </c>
      <c r="H29" s="62">
        <f>+G29+F29</f>
        <v>0</v>
      </c>
      <c r="I29" s="57"/>
      <c r="J29" s="388"/>
      <c r="K29" s="59" t="s">
        <v>4</v>
      </c>
      <c r="L29" s="60" t="s">
        <v>8</v>
      </c>
      <c r="M29" s="61">
        <v>0</v>
      </c>
      <c r="N29" s="61">
        <v>0</v>
      </c>
      <c r="O29" s="138">
        <v>0</v>
      </c>
      <c r="P29" s="62">
        <f t="shared" si="1"/>
        <v>0</v>
      </c>
    </row>
    <row r="30" spans="1:18" s="49" customFormat="1" ht="18" customHeight="1" x14ac:dyDescent="0.25">
      <c r="A30" s="407"/>
      <c r="B30" s="408"/>
      <c r="C30" s="408"/>
      <c r="D30" s="408"/>
      <c r="E30" s="408"/>
      <c r="F30" s="408"/>
      <c r="G30" s="408"/>
      <c r="H30" s="409"/>
      <c r="I30" s="57"/>
      <c r="J30" s="386" t="s">
        <v>50</v>
      </c>
      <c r="K30" s="391" t="s">
        <v>10</v>
      </c>
      <c r="L30" s="391"/>
      <c r="M30" s="51">
        <f>M31+M34+M35</f>
        <v>0</v>
      </c>
      <c r="N30" s="51">
        <f>N31+N34+N35</f>
        <v>0</v>
      </c>
      <c r="O30" s="135">
        <f>O31+O34+O35</f>
        <v>0</v>
      </c>
      <c r="P30" s="58">
        <f>P31+P34+P35</f>
        <v>0</v>
      </c>
    </row>
    <row r="31" spans="1:18" s="49" customFormat="1" ht="18" customHeight="1" x14ac:dyDescent="0.25">
      <c r="A31" s="410"/>
      <c r="B31" s="411"/>
      <c r="C31" s="411"/>
      <c r="D31" s="411"/>
      <c r="E31" s="411"/>
      <c r="F31" s="411"/>
      <c r="G31" s="411"/>
      <c r="H31" s="412"/>
      <c r="I31" s="57"/>
      <c r="J31" s="387"/>
      <c r="K31" s="59" t="s">
        <v>1</v>
      </c>
      <c r="L31" s="60" t="s">
        <v>7</v>
      </c>
      <c r="M31" s="61">
        <v>0</v>
      </c>
      <c r="N31" s="61">
        <v>0</v>
      </c>
      <c r="O31" s="138">
        <v>0</v>
      </c>
      <c r="P31" s="62">
        <f t="shared" si="1"/>
        <v>0</v>
      </c>
    </row>
    <row r="32" spans="1:18" s="49" customFormat="1" ht="18" customHeight="1" x14ac:dyDescent="0.25">
      <c r="A32" s="410"/>
      <c r="B32" s="411"/>
      <c r="C32" s="411"/>
      <c r="D32" s="411"/>
      <c r="E32" s="411"/>
      <c r="F32" s="411"/>
      <c r="G32" s="411"/>
      <c r="H32" s="412"/>
      <c r="I32" s="57"/>
      <c r="J32" s="387"/>
      <c r="K32" s="67" t="s">
        <v>80</v>
      </c>
      <c r="L32" s="68" t="s">
        <v>82</v>
      </c>
      <c r="M32" s="139">
        <v>0</v>
      </c>
      <c r="N32" s="139">
        <v>0</v>
      </c>
      <c r="O32" s="138">
        <v>0</v>
      </c>
      <c r="P32" s="62">
        <f t="shared" si="1"/>
        <v>0</v>
      </c>
      <c r="Q32" s="69"/>
      <c r="R32" s="69"/>
    </row>
    <row r="33" spans="1:16" s="49" customFormat="1" ht="18" customHeight="1" x14ac:dyDescent="0.25">
      <c r="A33" s="410"/>
      <c r="B33" s="411"/>
      <c r="C33" s="411"/>
      <c r="D33" s="411"/>
      <c r="E33" s="411"/>
      <c r="F33" s="411"/>
      <c r="G33" s="411"/>
      <c r="H33" s="412"/>
      <c r="I33" s="57"/>
      <c r="J33" s="387"/>
      <c r="K33" s="67" t="s">
        <v>81</v>
      </c>
      <c r="L33" s="68" t="s">
        <v>83</v>
      </c>
      <c r="M33" s="140">
        <v>0</v>
      </c>
      <c r="N33" s="140">
        <v>0</v>
      </c>
      <c r="O33" s="138">
        <v>0</v>
      </c>
      <c r="P33" s="62">
        <f t="shared" si="1"/>
        <v>0</v>
      </c>
    </row>
    <row r="34" spans="1:16" s="49" customFormat="1" ht="18" customHeight="1" x14ac:dyDescent="0.25">
      <c r="A34" s="410"/>
      <c r="B34" s="411"/>
      <c r="C34" s="411"/>
      <c r="D34" s="411"/>
      <c r="E34" s="411"/>
      <c r="F34" s="411"/>
      <c r="G34" s="411"/>
      <c r="H34" s="412"/>
      <c r="I34" s="57"/>
      <c r="J34" s="387"/>
      <c r="K34" s="59" t="s">
        <v>2</v>
      </c>
      <c r="L34" s="60" t="s">
        <v>9</v>
      </c>
      <c r="M34" s="141">
        <v>0</v>
      </c>
      <c r="N34" s="141">
        <v>0</v>
      </c>
      <c r="O34" s="138">
        <v>0</v>
      </c>
      <c r="P34" s="62">
        <f t="shared" si="1"/>
        <v>0</v>
      </c>
    </row>
    <row r="35" spans="1:16" s="49" customFormat="1" ht="18" customHeight="1" x14ac:dyDescent="0.25">
      <c r="A35" s="413"/>
      <c r="B35" s="414"/>
      <c r="C35" s="414"/>
      <c r="D35" s="414"/>
      <c r="E35" s="414"/>
      <c r="F35" s="414"/>
      <c r="G35" s="414"/>
      <c r="H35" s="415"/>
      <c r="I35" s="70"/>
      <c r="J35" s="388"/>
      <c r="K35" s="59" t="s">
        <v>4</v>
      </c>
      <c r="L35" s="60" t="s">
        <v>8</v>
      </c>
      <c r="M35" s="61">
        <v>0</v>
      </c>
      <c r="N35" s="61">
        <v>0</v>
      </c>
      <c r="O35" s="138">
        <v>0</v>
      </c>
      <c r="P35" s="62">
        <f t="shared" si="1"/>
        <v>0</v>
      </c>
    </row>
    <row r="36" spans="1:16" s="49" customFormat="1" ht="18" customHeight="1" x14ac:dyDescent="0.25">
      <c r="A36" s="71" t="s">
        <v>0</v>
      </c>
      <c r="B36" s="370" t="s">
        <v>19</v>
      </c>
      <c r="C36" s="371"/>
      <c r="D36" s="372"/>
      <c r="E36" s="72">
        <f>SUM(E37:E39)</f>
        <v>3939167</v>
      </c>
      <c r="F36" s="72">
        <f>+F37+F38+F39</f>
        <v>29035731</v>
      </c>
      <c r="G36" s="72">
        <f>+G37+G38+G39</f>
        <v>33900000</v>
      </c>
      <c r="H36" s="72">
        <f>+H37+H38+H39</f>
        <v>62935731</v>
      </c>
      <c r="I36" s="73" t="s">
        <v>0</v>
      </c>
      <c r="J36" s="416" t="s">
        <v>14</v>
      </c>
      <c r="K36" s="417"/>
      <c r="L36" s="417"/>
      <c r="M36" s="74">
        <f>SUM(M37:M39)</f>
        <v>300099673</v>
      </c>
      <c r="N36" s="74">
        <f>+N37+N38+N39</f>
        <v>447272134</v>
      </c>
      <c r="O36" s="74">
        <f>+O37+O38+O39</f>
        <v>39662233</v>
      </c>
      <c r="P36" s="75">
        <f>+P37+P38+P39</f>
        <v>486934367</v>
      </c>
    </row>
    <row r="37" spans="1:16" s="49" customFormat="1" ht="18" customHeight="1" x14ac:dyDescent="0.25">
      <c r="A37" s="76"/>
      <c r="B37" s="418" t="s">
        <v>70</v>
      </c>
      <c r="C37" s="77" t="s">
        <v>1</v>
      </c>
      <c r="D37" s="78" t="s">
        <v>7</v>
      </c>
      <c r="E37" s="79">
        <f>E15+E19+E23+E27</f>
        <v>3939167</v>
      </c>
      <c r="F37" s="79">
        <f t="shared" ref="F37:H39" si="2">+F27+F23+F19+F15</f>
        <v>28900731</v>
      </c>
      <c r="G37" s="79">
        <f t="shared" si="2"/>
        <v>33900000</v>
      </c>
      <c r="H37" s="79">
        <f t="shared" si="2"/>
        <v>62800731</v>
      </c>
      <c r="I37" s="378"/>
      <c r="J37" s="421" t="s">
        <v>69</v>
      </c>
      <c r="K37" s="77" t="s">
        <v>1</v>
      </c>
      <c r="L37" s="78" t="s">
        <v>7</v>
      </c>
      <c r="M37" s="79">
        <f>M15+M19+M23+M27+M31</f>
        <v>300099673</v>
      </c>
      <c r="N37" s="79">
        <f>+N31+N27+N23+N19+N15</f>
        <v>447272134</v>
      </c>
      <c r="O37" s="79">
        <f>+O31+O27+O23+O19+O15</f>
        <v>39662233</v>
      </c>
      <c r="P37" s="80">
        <f>+P31+P27+P23+P19+P15</f>
        <v>486934367</v>
      </c>
    </row>
    <row r="38" spans="1:16" s="49" customFormat="1" ht="18" customHeight="1" x14ac:dyDescent="0.25">
      <c r="A38" s="76"/>
      <c r="B38" s="419"/>
      <c r="C38" s="77" t="s">
        <v>2</v>
      </c>
      <c r="D38" s="78" t="s">
        <v>9</v>
      </c>
      <c r="E38" s="79">
        <v>0</v>
      </c>
      <c r="F38" s="79">
        <f t="shared" si="2"/>
        <v>0</v>
      </c>
      <c r="G38" s="79">
        <f t="shared" si="2"/>
        <v>0</v>
      </c>
      <c r="H38" s="79">
        <f t="shared" si="2"/>
        <v>0</v>
      </c>
      <c r="I38" s="378"/>
      <c r="J38" s="421"/>
      <c r="K38" s="77" t="s">
        <v>2</v>
      </c>
      <c r="L38" s="78" t="s">
        <v>9</v>
      </c>
      <c r="M38" s="79">
        <f>M16+M20+M24+M28+M34</f>
        <v>0</v>
      </c>
      <c r="N38" s="79">
        <f t="shared" ref="N38:P39" si="3">+N34+N28+N24+N20+N16</f>
        <v>0</v>
      </c>
      <c r="O38" s="79">
        <f t="shared" si="3"/>
        <v>0</v>
      </c>
      <c r="P38" s="80">
        <f t="shared" si="3"/>
        <v>0</v>
      </c>
    </row>
    <row r="39" spans="1:16" s="49" customFormat="1" ht="18" customHeight="1" x14ac:dyDescent="0.25">
      <c r="A39" s="81"/>
      <c r="B39" s="420"/>
      <c r="C39" s="77" t="s">
        <v>4</v>
      </c>
      <c r="D39" s="78" t="s">
        <v>8</v>
      </c>
      <c r="E39" s="79">
        <v>0</v>
      </c>
      <c r="F39" s="79">
        <f t="shared" si="2"/>
        <v>135000</v>
      </c>
      <c r="G39" s="79">
        <f t="shared" si="2"/>
        <v>0</v>
      </c>
      <c r="H39" s="79">
        <f t="shared" si="2"/>
        <v>135000</v>
      </c>
      <c r="I39" s="379"/>
      <c r="J39" s="421"/>
      <c r="K39" s="77" t="s">
        <v>4</v>
      </c>
      <c r="L39" s="78" t="s">
        <v>8</v>
      </c>
      <c r="M39" s="82">
        <f>M17+M21+M25+M29+M35</f>
        <v>0</v>
      </c>
      <c r="N39" s="82">
        <f t="shared" si="3"/>
        <v>0</v>
      </c>
      <c r="O39" s="82">
        <f t="shared" si="3"/>
        <v>0</v>
      </c>
      <c r="P39" s="90">
        <f t="shared" si="3"/>
        <v>0</v>
      </c>
    </row>
    <row r="40" spans="1:16" s="83" customFormat="1" ht="30.75" customHeight="1" thickBot="1" x14ac:dyDescent="0.3">
      <c r="A40" s="403" t="s">
        <v>84</v>
      </c>
      <c r="B40" s="404"/>
      <c r="C40" s="404"/>
      <c r="D40" s="405"/>
      <c r="E40" s="332">
        <f>M36-E36</f>
        <v>296160506</v>
      </c>
      <c r="F40" s="332">
        <f>N36-F36</f>
        <v>418236403</v>
      </c>
      <c r="G40" s="332">
        <f>O36-G36</f>
        <v>5762233</v>
      </c>
      <c r="H40" s="332">
        <f>P36-H36</f>
        <v>423998636</v>
      </c>
      <c r="I40" s="403" t="s">
        <v>85</v>
      </c>
      <c r="J40" s="404"/>
      <c r="K40" s="404"/>
      <c r="L40" s="405"/>
      <c r="M40" s="276"/>
      <c r="N40" s="278"/>
      <c r="O40" s="277"/>
      <c r="P40" s="279"/>
    </row>
    <row r="41" spans="1:16" s="49" customFormat="1" ht="18" customHeight="1" x14ac:dyDescent="0.25">
      <c r="A41" s="392" t="s">
        <v>41</v>
      </c>
      <c r="B41" s="393"/>
      <c r="C41" s="393"/>
      <c r="D41" s="393"/>
      <c r="E41" s="393"/>
      <c r="F41" s="393"/>
      <c r="G41" s="393"/>
      <c r="H41" s="393"/>
      <c r="I41" s="393"/>
      <c r="J41" s="393"/>
      <c r="K41" s="393"/>
      <c r="L41" s="393"/>
      <c r="M41" s="393"/>
      <c r="N41" s="393"/>
      <c r="O41" s="393"/>
      <c r="P41" s="394"/>
    </row>
    <row r="42" spans="1:16" s="49" customFormat="1" ht="18" customHeight="1" x14ac:dyDescent="0.25">
      <c r="A42" s="50" t="s">
        <v>3</v>
      </c>
      <c r="B42" s="395" t="s">
        <v>20</v>
      </c>
      <c r="C42" s="396"/>
      <c r="D42" s="397"/>
      <c r="E42" s="51">
        <v>0</v>
      </c>
      <c r="F42" s="51">
        <f>F43+F47+F51</f>
        <v>0</v>
      </c>
      <c r="G42" s="135">
        <f>G43+G47+G51</f>
        <v>0</v>
      </c>
      <c r="H42" s="51">
        <f>H43+H47+H51</f>
        <v>0</v>
      </c>
      <c r="I42" s="84" t="s">
        <v>3</v>
      </c>
      <c r="J42" s="398" t="s">
        <v>18</v>
      </c>
      <c r="K42" s="399"/>
      <c r="L42" s="400"/>
      <c r="M42" s="53">
        <f>M43+M47+M51</f>
        <v>635000</v>
      </c>
      <c r="N42" s="53">
        <f>N43+N47+N51</f>
        <v>635000</v>
      </c>
      <c r="O42" s="136">
        <f>O43+O47+O51</f>
        <v>0</v>
      </c>
      <c r="P42" s="54">
        <f>P43+P47+P51</f>
        <v>635000</v>
      </c>
    </row>
    <row r="43" spans="1:16" s="49" customFormat="1" ht="18" customHeight="1" x14ac:dyDescent="0.25">
      <c r="A43" s="56"/>
      <c r="B43" s="381" t="s">
        <v>63</v>
      </c>
      <c r="C43" s="401" t="s">
        <v>98</v>
      </c>
      <c r="D43" s="402"/>
      <c r="E43" s="51">
        <v>0</v>
      </c>
      <c r="F43" s="51">
        <f>F44+F45+F46</f>
        <v>0</v>
      </c>
      <c r="G43" s="135">
        <f>G44+G45+G46</f>
        <v>0</v>
      </c>
      <c r="H43" s="51">
        <f>H44+H45+H46</f>
        <v>0</v>
      </c>
      <c r="I43" s="57"/>
      <c r="J43" s="386" t="s">
        <v>52</v>
      </c>
      <c r="K43" s="389" t="s">
        <v>11</v>
      </c>
      <c r="L43" s="390"/>
      <c r="M43" s="51">
        <f>SUM(M44:M46)</f>
        <v>635000</v>
      </c>
      <c r="N43" s="51">
        <f>N44+N45+N46</f>
        <v>635000</v>
      </c>
      <c r="O43" s="135">
        <f>O44+O45+O46</f>
        <v>0</v>
      </c>
      <c r="P43" s="58">
        <f>P44+P45+P46</f>
        <v>635000</v>
      </c>
    </row>
    <row r="44" spans="1:16" s="49" customFormat="1" ht="18" customHeight="1" x14ac:dyDescent="0.25">
      <c r="A44" s="56"/>
      <c r="B44" s="382"/>
      <c r="C44" s="59" t="s">
        <v>1</v>
      </c>
      <c r="D44" s="60" t="s">
        <v>7</v>
      </c>
      <c r="E44" s="61">
        <v>0</v>
      </c>
      <c r="F44" s="61">
        <v>0</v>
      </c>
      <c r="G44" s="137">
        <v>0</v>
      </c>
      <c r="H44" s="62">
        <f>+G44+F44</f>
        <v>0</v>
      </c>
      <c r="I44" s="57"/>
      <c r="J44" s="387"/>
      <c r="K44" s="59" t="s">
        <v>1</v>
      </c>
      <c r="L44" s="60" t="s">
        <v>7</v>
      </c>
      <c r="M44" s="61">
        <v>635000</v>
      </c>
      <c r="N44" s="61">
        <v>635000</v>
      </c>
      <c r="O44" s="138">
        <v>0</v>
      </c>
      <c r="P44" s="62">
        <f>+O44+N44</f>
        <v>635000</v>
      </c>
    </row>
    <row r="45" spans="1:16" s="49" customFormat="1" ht="18" customHeight="1" x14ac:dyDescent="0.25">
      <c r="A45" s="56"/>
      <c r="B45" s="382"/>
      <c r="C45" s="59" t="s">
        <v>2</v>
      </c>
      <c r="D45" s="60" t="s">
        <v>9</v>
      </c>
      <c r="E45" s="61">
        <v>0</v>
      </c>
      <c r="F45" s="61">
        <v>0</v>
      </c>
      <c r="G45" s="137">
        <v>0</v>
      </c>
      <c r="H45" s="62">
        <f>+G45+F45</f>
        <v>0</v>
      </c>
      <c r="I45" s="57"/>
      <c r="J45" s="387"/>
      <c r="K45" s="59" t="s">
        <v>2</v>
      </c>
      <c r="L45" s="60" t="s">
        <v>9</v>
      </c>
      <c r="M45" s="61">
        <v>0</v>
      </c>
      <c r="N45" s="61">
        <v>0</v>
      </c>
      <c r="O45" s="138">
        <v>0</v>
      </c>
      <c r="P45" s="62">
        <f>+O45+N45</f>
        <v>0</v>
      </c>
    </row>
    <row r="46" spans="1:16" s="49" customFormat="1" ht="18" customHeight="1" x14ac:dyDescent="0.25">
      <c r="A46" s="56"/>
      <c r="B46" s="383"/>
      <c r="C46" s="59" t="s">
        <v>4</v>
      </c>
      <c r="D46" s="60" t="s">
        <v>8</v>
      </c>
      <c r="E46" s="61">
        <v>0</v>
      </c>
      <c r="F46" s="61">
        <v>0</v>
      </c>
      <c r="G46" s="137">
        <v>0</v>
      </c>
      <c r="H46" s="62">
        <f>+G46+F46</f>
        <v>0</v>
      </c>
      <c r="I46" s="57"/>
      <c r="J46" s="388"/>
      <c r="K46" s="59" t="s">
        <v>4</v>
      </c>
      <c r="L46" s="60" t="s">
        <v>8</v>
      </c>
      <c r="M46" s="61">
        <v>0</v>
      </c>
      <c r="N46" s="61">
        <v>0</v>
      </c>
      <c r="O46" s="138">
        <v>0</v>
      </c>
      <c r="P46" s="62">
        <f>+O46+N46</f>
        <v>0</v>
      </c>
    </row>
    <row r="47" spans="1:16" s="49" customFormat="1" ht="18" customHeight="1" x14ac:dyDescent="0.25">
      <c r="A47" s="56"/>
      <c r="B47" s="381" t="s">
        <v>66</v>
      </c>
      <c r="C47" s="384" t="s">
        <v>21</v>
      </c>
      <c r="D47" s="385"/>
      <c r="E47" s="51">
        <v>0</v>
      </c>
      <c r="F47" s="51">
        <f>F48+F49+F50</f>
        <v>0</v>
      </c>
      <c r="G47" s="135">
        <f>G48+G49+G50</f>
        <v>0</v>
      </c>
      <c r="H47" s="51">
        <f>H48+H49+H50</f>
        <v>0</v>
      </c>
      <c r="I47" s="57"/>
      <c r="J47" s="386" t="s">
        <v>53</v>
      </c>
      <c r="K47" s="384" t="s">
        <v>12</v>
      </c>
      <c r="L47" s="385"/>
      <c r="M47" s="51">
        <f>SUM(M48:M50)</f>
        <v>0</v>
      </c>
      <c r="N47" s="51">
        <f>N48+N49+N50</f>
        <v>0</v>
      </c>
      <c r="O47" s="135">
        <f>O48+O49+O50</f>
        <v>0</v>
      </c>
      <c r="P47" s="58">
        <f>P48+P49+P50</f>
        <v>0</v>
      </c>
    </row>
    <row r="48" spans="1:16" s="49" customFormat="1" ht="18" customHeight="1" x14ac:dyDescent="0.25">
      <c r="A48" s="56"/>
      <c r="B48" s="382"/>
      <c r="C48" s="59" t="s">
        <v>1</v>
      </c>
      <c r="D48" s="60" t="s">
        <v>7</v>
      </c>
      <c r="E48" s="61">
        <v>0</v>
      </c>
      <c r="F48" s="61">
        <v>0</v>
      </c>
      <c r="G48" s="137">
        <v>0</v>
      </c>
      <c r="H48" s="62">
        <f>+G48+F48</f>
        <v>0</v>
      </c>
      <c r="I48" s="57"/>
      <c r="J48" s="387"/>
      <c r="K48" s="59" t="s">
        <v>1</v>
      </c>
      <c r="L48" s="60" t="s">
        <v>7</v>
      </c>
      <c r="M48" s="61">
        <v>0</v>
      </c>
      <c r="N48" s="61">
        <v>0</v>
      </c>
      <c r="O48" s="138">
        <v>0</v>
      </c>
      <c r="P48" s="62">
        <f>+O48+N48</f>
        <v>0</v>
      </c>
    </row>
    <row r="49" spans="1:16" s="49" customFormat="1" ht="18" customHeight="1" x14ac:dyDescent="0.25">
      <c r="A49" s="56"/>
      <c r="B49" s="382"/>
      <c r="C49" s="59" t="s">
        <v>2</v>
      </c>
      <c r="D49" s="60" t="s">
        <v>9</v>
      </c>
      <c r="E49" s="61">
        <v>0</v>
      </c>
      <c r="F49" s="61">
        <v>0</v>
      </c>
      <c r="G49" s="137">
        <v>0</v>
      </c>
      <c r="H49" s="62">
        <f>+G49+F49</f>
        <v>0</v>
      </c>
      <c r="I49" s="57"/>
      <c r="J49" s="387"/>
      <c r="K49" s="59" t="s">
        <v>2</v>
      </c>
      <c r="L49" s="60" t="s">
        <v>9</v>
      </c>
      <c r="M49" s="61">
        <v>0</v>
      </c>
      <c r="N49" s="61">
        <v>0</v>
      </c>
      <c r="O49" s="138">
        <v>0</v>
      </c>
      <c r="P49" s="62">
        <f>+O49+N49</f>
        <v>0</v>
      </c>
    </row>
    <row r="50" spans="1:16" s="49" customFormat="1" ht="18" customHeight="1" x14ac:dyDescent="0.25">
      <c r="A50" s="56"/>
      <c r="B50" s="383"/>
      <c r="C50" s="59" t="s">
        <v>4</v>
      </c>
      <c r="D50" s="60" t="s">
        <v>8</v>
      </c>
      <c r="E50" s="61">
        <v>0</v>
      </c>
      <c r="F50" s="61">
        <v>0</v>
      </c>
      <c r="G50" s="137">
        <v>0</v>
      </c>
      <c r="H50" s="62">
        <f>+G50+F50</f>
        <v>0</v>
      </c>
      <c r="I50" s="57"/>
      <c r="J50" s="388"/>
      <c r="K50" s="59" t="s">
        <v>4</v>
      </c>
      <c r="L50" s="60" t="s">
        <v>8</v>
      </c>
      <c r="M50" s="61">
        <v>0</v>
      </c>
      <c r="N50" s="61">
        <v>0</v>
      </c>
      <c r="O50" s="138">
        <v>0</v>
      </c>
      <c r="P50" s="62">
        <f>+O50+N50</f>
        <v>0</v>
      </c>
    </row>
    <row r="51" spans="1:16" s="49" customFormat="1" ht="18" customHeight="1" x14ac:dyDescent="0.25">
      <c r="A51" s="56"/>
      <c r="B51" s="381" t="s">
        <v>68</v>
      </c>
      <c r="C51" s="389" t="s">
        <v>44</v>
      </c>
      <c r="D51" s="390"/>
      <c r="E51" s="51">
        <v>0</v>
      </c>
      <c r="F51" s="51">
        <f>F52+F53+F54</f>
        <v>0</v>
      </c>
      <c r="G51" s="135">
        <f>G52+G53+G54</f>
        <v>0</v>
      </c>
      <c r="H51" s="51">
        <f>H52+H53+H54</f>
        <v>0</v>
      </c>
      <c r="I51" s="57"/>
      <c r="J51" s="386" t="s">
        <v>54</v>
      </c>
      <c r="K51" s="391" t="s">
        <v>55</v>
      </c>
      <c r="L51" s="391"/>
      <c r="M51" s="51">
        <f>SUM(M52:M54)</f>
        <v>0</v>
      </c>
      <c r="N51" s="51">
        <f>N52+N53+N54</f>
        <v>0</v>
      </c>
      <c r="O51" s="135">
        <f>O52+O53+O54</f>
        <v>0</v>
      </c>
      <c r="P51" s="58">
        <f>P52+P53+P54</f>
        <v>0</v>
      </c>
    </row>
    <row r="52" spans="1:16" s="49" customFormat="1" ht="18" customHeight="1" x14ac:dyDescent="0.25">
      <c r="A52" s="56"/>
      <c r="B52" s="382"/>
      <c r="C52" s="59" t="s">
        <v>1</v>
      </c>
      <c r="D52" s="60" t="s">
        <v>7</v>
      </c>
      <c r="E52" s="61">
        <v>0</v>
      </c>
      <c r="F52" s="61">
        <v>0</v>
      </c>
      <c r="G52" s="137">
        <v>0</v>
      </c>
      <c r="H52" s="62">
        <f>+G52+F52</f>
        <v>0</v>
      </c>
      <c r="I52" s="57"/>
      <c r="J52" s="387"/>
      <c r="K52" s="59" t="s">
        <v>1</v>
      </c>
      <c r="L52" s="60" t="s">
        <v>7</v>
      </c>
      <c r="M52" s="61">
        <v>0</v>
      </c>
      <c r="N52" s="61">
        <v>0</v>
      </c>
      <c r="O52" s="138">
        <v>0</v>
      </c>
      <c r="P52" s="62">
        <f>+O52+N52</f>
        <v>0</v>
      </c>
    </row>
    <row r="53" spans="1:16" s="49" customFormat="1" ht="18" customHeight="1" x14ac:dyDescent="0.25">
      <c r="A53" s="56"/>
      <c r="B53" s="382"/>
      <c r="C53" s="59" t="s">
        <v>2</v>
      </c>
      <c r="D53" s="60" t="s">
        <v>9</v>
      </c>
      <c r="E53" s="61">
        <v>0</v>
      </c>
      <c r="F53" s="61">
        <v>0</v>
      </c>
      <c r="G53" s="137">
        <v>0</v>
      </c>
      <c r="H53" s="62">
        <f>+G53+F53</f>
        <v>0</v>
      </c>
      <c r="I53" s="57"/>
      <c r="J53" s="387"/>
      <c r="K53" s="59" t="s">
        <v>2</v>
      </c>
      <c r="L53" s="60" t="s">
        <v>9</v>
      </c>
      <c r="M53" s="61">
        <v>0</v>
      </c>
      <c r="N53" s="61">
        <v>0</v>
      </c>
      <c r="O53" s="138">
        <v>0</v>
      </c>
      <c r="P53" s="62">
        <f>+O53+N53</f>
        <v>0</v>
      </c>
    </row>
    <row r="54" spans="1:16" s="49" customFormat="1" ht="18" customHeight="1" x14ac:dyDescent="0.25">
      <c r="A54" s="66"/>
      <c r="B54" s="383"/>
      <c r="C54" s="59" t="s">
        <v>4</v>
      </c>
      <c r="D54" s="60" t="s">
        <v>8</v>
      </c>
      <c r="E54" s="61">
        <v>0</v>
      </c>
      <c r="F54" s="61">
        <v>0</v>
      </c>
      <c r="G54" s="137">
        <v>0</v>
      </c>
      <c r="H54" s="62">
        <f>+G54+F54</f>
        <v>0</v>
      </c>
      <c r="I54" s="70"/>
      <c r="J54" s="388"/>
      <c r="K54" s="59" t="s">
        <v>4</v>
      </c>
      <c r="L54" s="60" t="s">
        <v>8</v>
      </c>
      <c r="M54" s="61">
        <v>0</v>
      </c>
      <c r="N54" s="61">
        <v>0</v>
      </c>
      <c r="O54" s="138">
        <v>0</v>
      </c>
      <c r="P54" s="62">
        <f>+O54+N54</f>
        <v>0</v>
      </c>
    </row>
    <row r="55" spans="1:16" s="49" customFormat="1" ht="18" customHeight="1" x14ac:dyDescent="0.25">
      <c r="A55" s="85" t="s">
        <v>3</v>
      </c>
      <c r="B55" s="361" t="s">
        <v>22</v>
      </c>
      <c r="C55" s="362"/>
      <c r="D55" s="363"/>
      <c r="E55" s="74">
        <v>0</v>
      </c>
      <c r="F55" s="74">
        <f>F56+F57+F58</f>
        <v>0</v>
      </c>
      <c r="G55" s="74">
        <f>G56+G57+G58</f>
        <v>0</v>
      </c>
      <c r="H55" s="74">
        <f>H56+H57+H58</f>
        <v>0</v>
      </c>
      <c r="I55" s="86" t="s">
        <v>3</v>
      </c>
      <c r="J55" s="361" t="s">
        <v>15</v>
      </c>
      <c r="K55" s="362"/>
      <c r="L55" s="363"/>
      <c r="M55" s="74">
        <f>SUM(M56:M58)</f>
        <v>635000</v>
      </c>
      <c r="N55" s="74">
        <f>N56+N57+N58</f>
        <v>635000</v>
      </c>
      <c r="O55" s="74">
        <f>O56+O57+O58</f>
        <v>0</v>
      </c>
      <c r="P55" s="75">
        <f>P56+P57+P58</f>
        <v>635000</v>
      </c>
    </row>
    <row r="56" spans="1:16" s="49" customFormat="1" ht="18" customHeight="1" x14ac:dyDescent="0.25">
      <c r="A56" s="76"/>
      <c r="B56" s="364" t="s">
        <v>71</v>
      </c>
      <c r="C56" s="77" t="s">
        <v>1</v>
      </c>
      <c r="D56" s="78" t="s">
        <v>7</v>
      </c>
      <c r="E56" s="142">
        <v>0</v>
      </c>
      <c r="F56" s="142">
        <f t="shared" ref="F56:H58" si="4">F44+F48+F52</f>
        <v>0</v>
      </c>
      <c r="G56" s="79">
        <f t="shared" si="4"/>
        <v>0</v>
      </c>
      <c r="H56" s="79">
        <f t="shared" si="4"/>
        <v>0</v>
      </c>
      <c r="I56" s="87"/>
      <c r="J56" s="366" t="s">
        <v>56</v>
      </c>
      <c r="K56" s="77" t="s">
        <v>1</v>
      </c>
      <c r="L56" s="78" t="s">
        <v>7</v>
      </c>
      <c r="M56" s="79">
        <f>M44+M48+M52</f>
        <v>635000</v>
      </c>
      <c r="N56" s="79">
        <f t="shared" ref="N56:P58" si="5">N44+N48+N52</f>
        <v>635000</v>
      </c>
      <c r="O56" s="79">
        <f t="shared" si="5"/>
        <v>0</v>
      </c>
      <c r="P56" s="80">
        <f t="shared" si="5"/>
        <v>635000</v>
      </c>
    </row>
    <row r="57" spans="1:16" s="49" customFormat="1" ht="18" customHeight="1" x14ac:dyDescent="0.25">
      <c r="A57" s="76"/>
      <c r="B57" s="365"/>
      <c r="C57" s="77" t="s">
        <v>2</v>
      </c>
      <c r="D57" s="78" t="s">
        <v>9</v>
      </c>
      <c r="E57" s="142">
        <v>0</v>
      </c>
      <c r="F57" s="142">
        <f t="shared" si="4"/>
        <v>0</v>
      </c>
      <c r="G57" s="79">
        <f t="shared" si="4"/>
        <v>0</v>
      </c>
      <c r="H57" s="79">
        <f t="shared" si="4"/>
        <v>0</v>
      </c>
      <c r="I57" s="87"/>
      <c r="J57" s="366"/>
      <c r="K57" s="77" t="s">
        <v>2</v>
      </c>
      <c r="L57" s="78" t="s">
        <v>9</v>
      </c>
      <c r="M57" s="79">
        <f>M45+M49+M53</f>
        <v>0</v>
      </c>
      <c r="N57" s="79">
        <f t="shared" si="5"/>
        <v>0</v>
      </c>
      <c r="O57" s="79">
        <f t="shared" si="5"/>
        <v>0</v>
      </c>
      <c r="P57" s="80">
        <f t="shared" si="5"/>
        <v>0</v>
      </c>
    </row>
    <row r="58" spans="1:16" s="49" customFormat="1" ht="18" customHeight="1" x14ac:dyDescent="0.25">
      <c r="A58" s="76"/>
      <c r="B58" s="365"/>
      <c r="C58" s="88" t="s">
        <v>4</v>
      </c>
      <c r="D58" s="89" t="s">
        <v>8</v>
      </c>
      <c r="E58" s="79">
        <v>0</v>
      </c>
      <c r="F58" s="79">
        <f t="shared" si="4"/>
        <v>0</v>
      </c>
      <c r="G58" s="79">
        <f t="shared" si="4"/>
        <v>0</v>
      </c>
      <c r="H58" s="79">
        <f t="shared" si="4"/>
        <v>0</v>
      </c>
      <c r="I58" s="87"/>
      <c r="J58" s="367"/>
      <c r="K58" s="88" t="s">
        <v>4</v>
      </c>
      <c r="L58" s="89" t="s">
        <v>8</v>
      </c>
      <c r="M58" s="82">
        <f>M46+M50+M54</f>
        <v>0</v>
      </c>
      <c r="N58" s="82">
        <f t="shared" si="5"/>
        <v>0</v>
      </c>
      <c r="O58" s="82">
        <f t="shared" si="5"/>
        <v>0</v>
      </c>
      <c r="P58" s="90">
        <f t="shared" si="5"/>
        <v>0</v>
      </c>
    </row>
    <row r="59" spans="1:16" s="91" customFormat="1" ht="31.5" customHeight="1" thickBot="1" x14ac:dyDescent="0.3">
      <c r="A59" s="368" t="s">
        <v>86</v>
      </c>
      <c r="B59" s="369"/>
      <c r="C59" s="369"/>
      <c r="D59" s="369"/>
      <c r="E59" s="280">
        <f>M55-E55</f>
        <v>635000</v>
      </c>
      <c r="F59" s="280">
        <f>N55-F55</f>
        <v>635000</v>
      </c>
      <c r="G59" s="280"/>
      <c r="H59" s="280">
        <f>P55-H55</f>
        <v>635000</v>
      </c>
      <c r="I59" s="368" t="s">
        <v>87</v>
      </c>
      <c r="J59" s="369"/>
      <c r="K59" s="369"/>
      <c r="L59" s="369"/>
      <c r="M59" s="281"/>
      <c r="N59" s="281"/>
      <c r="O59" s="282">
        <f>G55-O55</f>
        <v>0</v>
      </c>
      <c r="P59" s="283"/>
    </row>
    <row r="60" spans="1:16" s="49" customFormat="1" ht="18" customHeight="1" x14ac:dyDescent="0.25">
      <c r="A60" s="71" t="s">
        <v>30</v>
      </c>
      <c r="B60" s="370" t="s">
        <v>31</v>
      </c>
      <c r="C60" s="371"/>
      <c r="D60" s="372"/>
      <c r="E60" s="92">
        <f>SUM(E61:E63)</f>
        <v>3939167</v>
      </c>
      <c r="F60" s="92">
        <f>F61+F62+F63</f>
        <v>29035731</v>
      </c>
      <c r="G60" s="92">
        <f>G61+G62+G63</f>
        <v>33900000</v>
      </c>
      <c r="H60" s="92">
        <f>H61+H62+H63</f>
        <v>62935731</v>
      </c>
      <c r="I60" s="93" t="s">
        <v>30</v>
      </c>
      <c r="J60" s="373" t="s">
        <v>33</v>
      </c>
      <c r="K60" s="374"/>
      <c r="L60" s="374"/>
      <c r="M60" s="94">
        <f>SUM(M61:M63)</f>
        <v>300734673</v>
      </c>
      <c r="N60" s="94">
        <f>N61+N62+N63</f>
        <v>447907134</v>
      </c>
      <c r="O60" s="94">
        <f>O61+O62+O63</f>
        <v>39662233</v>
      </c>
      <c r="P60" s="95">
        <f>P61+P62+P63</f>
        <v>487569367</v>
      </c>
    </row>
    <row r="61" spans="1:16" s="49" customFormat="1" ht="18" customHeight="1" x14ac:dyDescent="0.25">
      <c r="A61" s="76"/>
      <c r="B61" s="375" t="s">
        <v>73</v>
      </c>
      <c r="C61" s="77" t="s">
        <v>1</v>
      </c>
      <c r="D61" s="78" t="s">
        <v>7</v>
      </c>
      <c r="E61" s="82">
        <f t="shared" ref="E61:H63" si="6">E37+E56</f>
        <v>3939167</v>
      </c>
      <c r="F61" s="82">
        <f t="shared" si="6"/>
        <v>28900731</v>
      </c>
      <c r="G61" s="82">
        <f t="shared" si="6"/>
        <v>33900000</v>
      </c>
      <c r="H61" s="82">
        <f t="shared" si="6"/>
        <v>62800731</v>
      </c>
      <c r="I61" s="378"/>
      <c r="J61" s="380" t="s">
        <v>72</v>
      </c>
      <c r="K61" s="77" t="s">
        <v>1</v>
      </c>
      <c r="L61" s="78" t="s">
        <v>7</v>
      </c>
      <c r="M61" s="82">
        <f>M37+M56</f>
        <v>300734673</v>
      </c>
      <c r="N61" s="82">
        <f>N37+N56</f>
        <v>447907134</v>
      </c>
      <c r="O61" s="82">
        <f t="shared" ref="N61:P63" si="7">O37+O56</f>
        <v>39662233</v>
      </c>
      <c r="P61" s="90">
        <f t="shared" si="7"/>
        <v>487569367</v>
      </c>
    </row>
    <row r="62" spans="1:16" s="49" customFormat="1" ht="18" customHeight="1" x14ac:dyDescent="0.25">
      <c r="A62" s="76"/>
      <c r="B62" s="376"/>
      <c r="C62" s="77" t="s">
        <v>2</v>
      </c>
      <c r="D62" s="78" t="s">
        <v>9</v>
      </c>
      <c r="E62" s="82">
        <f t="shared" si="6"/>
        <v>0</v>
      </c>
      <c r="F62" s="82">
        <f t="shared" si="6"/>
        <v>0</v>
      </c>
      <c r="G62" s="82">
        <f t="shared" si="6"/>
        <v>0</v>
      </c>
      <c r="H62" s="82">
        <f t="shared" si="6"/>
        <v>0</v>
      </c>
      <c r="I62" s="378"/>
      <c r="J62" s="380"/>
      <c r="K62" s="77" t="s">
        <v>2</v>
      </c>
      <c r="L62" s="78" t="s">
        <v>9</v>
      </c>
      <c r="M62" s="82">
        <f>M38+M57</f>
        <v>0</v>
      </c>
      <c r="N62" s="82">
        <f t="shared" si="7"/>
        <v>0</v>
      </c>
      <c r="O62" s="82">
        <f t="shared" si="7"/>
        <v>0</v>
      </c>
      <c r="P62" s="90">
        <f t="shared" si="7"/>
        <v>0</v>
      </c>
    </row>
    <row r="63" spans="1:16" s="49" customFormat="1" ht="18" customHeight="1" x14ac:dyDescent="0.25">
      <c r="A63" s="81"/>
      <c r="B63" s="377"/>
      <c r="C63" s="77" t="s">
        <v>4</v>
      </c>
      <c r="D63" s="78" t="s">
        <v>8</v>
      </c>
      <c r="E63" s="79">
        <f t="shared" si="6"/>
        <v>0</v>
      </c>
      <c r="F63" s="79">
        <f>F39+F58</f>
        <v>135000</v>
      </c>
      <c r="G63" s="79">
        <f t="shared" si="6"/>
        <v>0</v>
      </c>
      <c r="H63" s="79">
        <f t="shared" si="6"/>
        <v>135000</v>
      </c>
      <c r="I63" s="379"/>
      <c r="J63" s="380"/>
      <c r="K63" s="77" t="s">
        <v>4</v>
      </c>
      <c r="L63" s="78" t="s">
        <v>8</v>
      </c>
      <c r="M63" s="79">
        <f>M39+M58</f>
        <v>0</v>
      </c>
      <c r="N63" s="79">
        <f t="shared" si="7"/>
        <v>0</v>
      </c>
      <c r="O63" s="79">
        <f t="shared" si="7"/>
        <v>0</v>
      </c>
      <c r="P63" s="80">
        <f t="shared" si="7"/>
        <v>0</v>
      </c>
    </row>
    <row r="64" spans="1:16" s="96" customFormat="1" ht="30" customHeight="1" thickBot="1" x14ac:dyDescent="0.3">
      <c r="A64" s="358" t="s">
        <v>60</v>
      </c>
      <c r="B64" s="359"/>
      <c r="C64" s="359"/>
      <c r="D64" s="360"/>
      <c r="E64" s="280">
        <f>M60-E60</f>
        <v>296795506</v>
      </c>
      <c r="F64" s="280">
        <f>N60-F60</f>
        <v>418871403</v>
      </c>
      <c r="G64" s="280">
        <f>O60-G60</f>
        <v>5762233</v>
      </c>
      <c r="H64" s="280">
        <f>P60-H60</f>
        <v>424633636</v>
      </c>
      <c r="I64" s="358" t="s">
        <v>61</v>
      </c>
      <c r="J64" s="359"/>
      <c r="K64" s="359"/>
      <c r="L64" s="360"/>
      <c r="M64" s="233"/>
      <c r="N64" s="233"/>
      <c r="O64" s="333"/>
      <c r="P64" s="285"/>
    </row>
    <row r="65" spans="1:16" s="49" customFormat="1" ht="18" customHeight="1" x14ac:dyDescent="0.25">
      <c r="A65" s="97" t="s">
        <v>34</v>
      </c>
      <c r="B65" s="526" t="s">
        <v>32</v>
      </c>
      <c r="C65" s="527"/>
      <c r="D65" s="528"/>
      <c r="E65" s="98">
        <f>SUM(E66:E67)</f>
        <v>296795506</v>
      </c>
      <c r="F65" s="98">
        <f>F66+F67</f>
        <v>418871403</v>
      </c>
      <c r="G65" s="98">
        <f>G66+G67</f>
        <v>5762233</v>
      </c>
      <c r="H65" s="98">
        <f>H66+H67</f>
        <v>424633636</v>
      </c>
      <c r="I65" s="99" t="s">
        <v>34</v>
      </c>
      <c r="J65" s="350" t="s">
        <v>45</v>
      </c>
      <c r="K65" s="351"/>
      <c r="L65" s="352"/>
      <c r="M65" s="100">
        <v>0</v>
      </c>
      <c r="N65" s="100">
        <f>N66+N67</f>
        <v>0</v>
      </c>
      <c r="O65" s="100">
        <f>O66+O67</f>
        <v>0</v>
      </c>
      <c r="P65" s="101">
        <f>P66+P67</f>
        <v>0</v>
      </c>
    </row>
    <row r="66" spans="1:16" s="49" customFormat="1" ht="18" customHeight="1" x14ac:dyDescent="0.25">
      <c r="A66" s="102"/>
      <c r="B66" s="353" t="s">
        <v>62</v>
      </c>
      <c r="C66" s="59" t="s">
        <v>1</v>
      </c>
      <c r="D66" s="60" t="s">
        <v>74</v>
      </c>
      <c r="E66" s="61">
        <v>0</v>
      </c>
      <c r="F66" s="61">
        <v>16050077</v>
      </c>
      <c r="G66" s="137">
        <v>0</v>
      </c>
      <c r="H66" s="62">
        <f>+G66+F66</f>
        <v>16050077</v>
      </c>
      <c r="I66" s="102"/>
      <c r="J66" s="353" t="s">
        <v>57</v>
      </c>
      <c r="K66" s="59" t="s">
        <v>1</v>
      </c>
      <c r="L66" s="60"/>
      <c r="M66" s="61"/>
      <c r="N66" s="61"/>
      <c r="O66" s="143"/>
      <c r="P66" s="62"/>
    </row>
    <row r="67" spans="1:16" s="49" customFormat="1" ht="18" customHeight="1" x14ac:dyDescent="0.25">
      <c r="A67" s="102"/>
      <c r="B67" s="354"/>
      <c r="C67" s="59" t="s">
        <v>2</v>
      </c>
      <c r="D67" s="60" t="s">
        <v>77</v>
      </c>
      <c r="E67" s="61">
        <v>296795506</v>
      </c>
      <c r="F67" s="61">
        <v>402821326</v>
      </c>
      <c r="G67" s="137">
        <v>5762233</v>
      </c>
      <c r="H67" s="62">
        <f>+G67+F67</f>
        <v>408583559</v>
      </c>
      <c r="I67" s="102"/>
      <c r="J67" s="354"/>
      <c r="K67" s="59" t="s">
        <v>2</v>
      </c>
      <c r="L67" s="60"/>
      <c r="M67" s="61"/>
      <c r="N67" s="61"/>
      <c r="O67" s="143"/>
      <c r="P67" s="62"/>
    </row>
    <row r="68" spans="1:16" s="103" customFormat="1" ht="18" customHeight="1" x14ac:dyDescent="0.25">
      <c r="A68" s="286" t="s">
        <v>35</v>
      </c>
      <c r="B68" s="355" t="s">
        <v>91</v>
      </c>
      <c r="C68" s="356"/>
      <c r="D68" s="357"/>
      <c r="E68" s="287">
        <f>E69+E70+E71</f>
        <v>300734673</v>
      </c>
      <c r="F68" s="287">
        <f>F69+F70+F71</f>
        <v>447907134</v>
      </c>
      <c r="G68" s="287">
        <f>G69+G70+G71</f>
        <v>39662233</v>
      </c>
      <c r="H68" s="287">
        <f>H69+H70+H71</f>
        <v>487569367</v>
      </c>
      <c r="I68" s="288" t="s">
        <v>35</v>
      </c>
      <c r="J68" s="355" t="s">
        <v>92</v>
      </c>
      <c r="K68" s="356"/>
      <c r="L68" s="357"/>
      <c r="M68" s="287">
        <f>SUM(M69:M71)</f>
        <v>300734673</v>
      </c>
      <c r="N68" s="287">
        <f>N69+N70+N71</f>
        <v>447907134</v>
      </c>
      <c r="O68" s="287">
        <f>O69+O70+O71</f>
        <v>39662233</v>
      </c>
      <c r="P68" s="289">
        <f>P69+P70+P71</f>
        <v>487569367</v>
      </c>
    </row>
    <row r="69" spans="1:16" s="103" customFormat="1" ht="18" customHeight="1" x14ac:dyDescent="0.25">
      <c r="A69" s="290"/>
      <c r="B69" s="346" t="s">
        <v>59</v>
      </c>
      <c r="C69" s="291" t="s">
        <v>1</v>
      </c>
      <c r="D69" s="292" t="s">
        <v>7</v>
      </c>
      <c r="E69" s="293">
        <f>E61+E66+E67</f>
        <v>300734673</v>
      </c>
      <c r="F69" s="293">
        <f>F61+F66+F67</f>
        <v>447772134</v>
      </c>
      <c r="G69" s="293">
        <f>G61+G66+G67</f>
        <v>39662233</v>
      </c>
      <c r="H69" s="293">
        <f>H61+H66+H67</f>
        <v>487434367</v>
      </c>
      <c r="I69" s="294"/>
      <c r="J69" s="346" t="s">
        <v>58</v>
      </c>
      <c r="K69" s="291" t="s">
        <v>1</v>
      </c>
      <c r="L69" s="292" t="s">
        <v>7</v>
      </c>
      <c r="M69" s="293">
        <f>M61</f>
        <v>300734673</v>
      </c>
      <c r="N69" s="293">
        <f>N61+N66+N67</f>
        <v>447907134</v>
      </c>
      <c r="O69" s="293">
        <f>O61+O66+O67</f>
        <v>39662233</v>
      </c>
      <c r="P69" s="295">
        <f>P61+P66+P67</f>
        <v>487569367</v>
      </c>
    </row>
    <row r="70" spans="1:16" s="103" customFormat="1" ht="18" customHeight="1" x14ac:dyDescent="0.25">
      <c r="A70" s="290"/>
      <c r="B70" s="347"/>
      <c r="C70" s="291" t="s">
        <v>2</v>
      </c>
      <c r="D70" s="292" t="s">
        <v>9</v>
      </c>
      <c r="E70" s="293">
        <v>0</v>
      </c>
      <c r="F70" s="293">
        <f t="shared" ref="F70:H71" si="8">F62</f>
        <v>0</v>
      </c>
      <c r="G70" s="293">
        <f t="shared" si="8"/>
        <v>0</v>
      </c>
      <c r="H70" s="293">
        <f t="shared" si="8"/>
        <v>0</v>
      </c>
      <c r="I70" s="294"/>
      <c r="J70" s="347"/>
      <c r="K70" s="291" t="s">
        <v>2</v>
      </c>
      <c r="L70" s="292" t="s">
        <v>9</v>
      </c>
      <c r="M70" s="293">
        <v>0</v>
      </c>
      <c r="N70" s="293">
        <f t="shared" ref="N70:P71" si="9">N62</f>
        <v>0</v>
      </c>
      <c r="O70" s="293">
        <f t="shared" si="9"/>
        <v>0</v>
      </c>
      <c r="P70" s="295">
        <f t="shared" si="9"/>
        <v>0</v>
      </c>
    </row>
    <row r="71" spans="1:16" s="103" customFormat="1" ht="18" customHeight="1" thickBot="1" x14ac:dyDescent="0.3">
      <c r="A71" s="296"/>
      <c r="B71" s="348"/>
      <c r="C71" s="297" t="s">
        <v>4</v>
      </c>
      <c r="D71" s="298" t="s">
        <v>8</v>
      </c>
      <c r="E71" s="299">
        <v>0</v>
      </c>
      <c r="F71" s="299">
        <f t="shared" si="8"/>
        <v>135000</v>
      </c>
      <c r="G71" s="299">
        <f t="shared" si="8"/>
        <v>0</v>
      </c>
      <c r="H71" s="299">
        <f t="shared" si="8"/>
        <v>135000</v>
      </c>
      <c r="I71" s="300"/>
      <c r="J71" s="348"/>
      <c r="K71" s="297" t="s">
        <v>4</v>
      </c>
      <c r="L71" s="298" t="s">
        <v>8</v>
      </c>
      <c r="M71" s="299">
        <v>0</v>
      </c>
      <c r="N71" s="299">
        <f t="shared" si="9"/>
        <v>0</v>
      </c>
      <c r="O71" s="299">
        <f t="shared" si="9"/>
        <v>0</v>
      </c>
      <c r="P71" s="301">
        <f t="shared" si="9"/>
        <v>0</v>
      </c>
    </row>
    <row r="74" spans="1:16" x14ac:dyDescent="0.25">
      <c r="A74" s="349"/>
      <c r="B74" s="349"/>
      <c r="C74" s="349"/>
      <c r="D74" s="349"/>
      <c r="E74" s="349"/>
      <c r="F74" s="349"/>
      <c r="G74" s="43"/>
      <c r="H74" s="43"/>
    </row>
  </sheetData>
  <sheetProtection formatCells="0"/>
  <mergeCells count="78">
    <mergeCell ref="A7:P7"/>
    <mergeCell ref="K1:P1"/>
    <mergeCell ref="K2:P2"/>
    <mergeCell ref="A4:P4"/>
    <mergeCell ref="A5:P5"/>
    <mergeCell ref="A6:P6"/>
    <mergeCell ref="A8:P8"/>
    <mergeCell ref="D9:L9"/>
    <mergeCell ref="A10:F10"/>
    <mergeCell ref="I10:P10"/>
    <mergeCell ref="C11:D11"/>
    <mergeCell ref="K11:L11"/>
    <mergeCell ref="A12:P12"/>
    <mergeCell ref="B13:D13"/>
    <mergeCell ref="J13:L13"/>
    <mergeCell ref="B14:B17"/>
    <mergeCell ref="C14:D14"/>
    <mergeCell ref="J14:J17"/>
    <mergeCell ref="K14:L14"/>
    <mergeCell ref="B18:B21"/>
    <mergeCell ref="C18:D18"/>
    <mergeCell ref="J18:J21"/>
    <mergeCell ref="K18:L18"/>
    <mergeCell ref="B22:B25"/>
    <mergeCell ref="C22:D22"/>
    <mergeCell ref="J22:J25"/>
    <mergeCell ref="K22:L22"/>
    <mergeCell ref="A40:D40"/>
    <mergeCell ref="I40:L40"/>
    <mergeCell ref="B26:B29"/>
    <mergeCell ref="C26:D26"/>
    <mergeCell ref="J26:J29"/>
    <mergeCell ref="K26:L26"/>
    <mergeCell ref="A30:H35"/>
    <mergeCell ref="J30:J35"/>
    <mergeCell ref="K30:L30"/>
    <mergeCell ref="B36:D36"/>
    <mergeCell ref="J36:L36"/>
    <mergeCell ref="B37:B39"/>
    <mergeCell ref="I37:I39"/>
    <mergeCell ref="J37:J39"/>
    <mergeCell ref="A41:P41"/>
    <mergeCell ref="B42:D42"/>
    <mergeCell ref="J42:L42"/>
    <mergeCell ref="B43:B46"/>
    <mergeCell ref="C43:D43"/>
    <mergeCell ref="J43:J46"/>
    <mergeCell ref="K43:L43"/>
    <mergeCell ref="B47:B50"/>
    <mergeCell ref="C47:D47"/>
    <mergeCell ref="J47:J50"/>
    <mergeCell ref="K47:L47"/>
    <mergeCell ref="B51:B54"/>
    <mergeCell ref="C51:D51"/>
    <mergeCell ref="J51:J54"/>
    <mergeCell ref="K51:L51"/>
    <mergeCell ref="A64:D64"/>
    <mergeCell ref="I64:L64"/>
    <mergeCell ref="B55:D55"/>
    <mergeCell ref="J55:L55"/>
    <mergeCell ref="B56:B58"/>
    <mergeCell ref="J56:J58"/>
    <mergeCell ref="A59:D59"/>
    <mergeCell ref="I59:L59"/>
    <mergeCell ref="B60:D60"/>
    <mergeCell ref="J60:L60"/>
    <mergeCell ref="B61:B63"/>
    <mergeCell ref="I61:I63"/>
    <mergeCell ref="J61:J63"/>
    <mergeCell ref="B69:B71"/>
    <mergeCell ref="J69:J71"/>
    <mergeCell ref="A74:F74"/>
    <mergeCell ref="B65:D65"/>
    <mergeCell ref="J65:L65"/>
    <mergeCell ref="B66:B67"/>
    <mergeCell ref="J66:J67"/>
    <mergeCell ref="B68:D68"/>
    <mergeCell ref="J68:L68"/>
  </mergeCells>
  <printOptions horizontalCentered="1"/>
  <pageMargins left="0.19685039370078741" right="0.19685039370078741" top="3.937007874015748E-2" bottom="0" header="0.43307086614173229" footer="0.51181102362204722"/>
  <pageSetup paperSize="9" scale="62" orientation="landscape" horizontalDpi="300" verticalDpi="300" r:id="rId1"/>
  <headerFooter alignWithMargins="0"/>
  <rowBreaks count="1" manualBreakCount="1">
    <brk id="40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DB698-BBC4-44D3-906A-73A977724386}">
  <sheetPr>
    <tabColor theme="7" tint="0.59999389629810485"/>
  </sheetPr>
  <dimension ref="A1:P42"/>
  <sheetViews>
    <sheetView zoomScaleNormal="100" workbookViewId="0">
      <selection activeCell="O7" sqref="O7"/>
    </sheetView>
  </sheetViews>
  <sheetFormatPr defaultColWidth="9.109375" defaultRowHeight="15.6" x14ac:dyDescent="0.3"/>
  <cols>
    <col min="1" max="1" width="4.5546875" style="177" customWidth="1"/>
    <col min="2" max="2" width="31.6640625" style="177" customWidth="1"/>
    <col min="3" max="3" width="29.109375" style="177" customWidth="1"/>
    <col min="4" max="4" width="8" style="177" customWidth="1"/>
    <col min="5" max="5" width="12.6640625" style="177" customWidth="1"/>
    <col min="6" max="6" width="12.109375" style="177" customWidth="1"/>
    <col min="7" max="7" width="12.6640625" style="177" customWidth="1"/>
    <col min="8" max="8" width="14.6640625" style="177" customWidth="1"/>
    <col min="9" max="9" width="14.33203125" style="177" customWidth="1"/>
    <col min="10" max="10" width="12.6640625" style="177" customWidth="1"/>
    <col min="11" max="11" width="14.6640625" style="177" customWidth="1"/>
    <col min="12" max="12" width="11.33203125" style="177" customWidth="1"/>
    <col min="13" max="13" width="10.109375" style="177" bestFit="1" customWidth="1"/>
    <col min="14" max="14" width="11" style="177" bestFit="1" customWidth="1"/>
    <col min="15" max="16384" width="9.109375" style="177"/>
  </cols>
  <sheetData>
    <row r="1" spans="1:16" x14ac:dyDescent="0.3">
      <c r="F1" s="434" t="s">
        <v>239</v>
      </c>
      <c r="G1" s="434"/>
      <c r="H1" s="434"/>
      <c r="I1" s="434"/>
      <c r="J1" s="434"/>
      <c r="K1" s="434"/>
      <c r="L1" s="434"/>
      <c r="M1" s="30"/>
    </row>
    <row r="2" spans="1:16" x14ac:dyDescent="0.3">
      <c r="A2" s="144"/>
      <c r="B2" s="144"/>
      <c r="C2" s="144"/>
      <c r="D2" s="144"/>
      <c r="E2" s="238"/>
      <c r="F2" s="434" t="s">
        <v>214</v>
      </c>
      <c r="G2" s="434"/>
      <c r="H2" s="434"/>
      <c r="I2" s="434"/>
      <c r="J2" s="434"/>
      <c r="K2" s="434"/>
      <c r="L2" s="434"/>
    </row>
    <row r="3" spans="1:16" x14ac:dyDescent="0.3">
      <c r="A3" s="144"/>
      <c r="B3" s="144"/>
      <c r="C3" s="144"/>
      <c r="D3" s="144"/>
      <c r="E3" s="238"/>
      <c r="F3" s="31"/>
      <c r="G3" s="31"/>
      <c r="H3" s="31"/>
      <c r="I3" s="31"/>
      <c r="J3" s="31"/>
      <c r="K3" s="31"/>
      <c r="L3" s="31"/>
    </row>
    <row r="4" spans="1:16" x14ac:dyDescent="0.3">
      <c r="A4" s="525" t="s">
        <v>248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</row>
    <row r="5" spans="1:16" x14ac:dyDescent="0.3">
      <c r="A5" s="556" t="s">
        <v>215</v>
      </c>
      <c r="B5" s="556"/>
      <c r="C5" s="556"/>
      <c r="D5" s="556"/>
      <c r="E5" s="556"/>
      <c r="F5" s="556"/>
      <c r="G5" s="556"/>
      <c r="H5" s="556"/>
      <c r="I5" s="556"/>
      <c r="J5" s="556"/>
      <c r="K5" s="556"/>
      <c r="L5" s="556"/>
    </row>
    <row r="6" spans="1:16" s="3" customFormat="1" x14ac:dyDescent="0.3">
      <c r="A6" s="525" t="s">
        <v>97</v>
      </c>
      <c r="B6" s="525"/>
      <c r="C6" s="525"/>
      <c r="D6" s="525"/>
      <c r="E6" s="525"/>
      <c r="F6" s="525"/>
      <c r="G6" s="525"/>
      <c r="H6" s="525"/>
      <c r="I6" s="525"/>
      <c r="J6" s="525"/>
      <c r="K6" s="525"/>
      <c r="L6" s="525"/>
      <c r="M6" s="239"/>
    </row>
    <row r="7" spans="1:16" s="3" customFormat="1" x14ac:dyDescent="0.3">
      <c r="A7" s="425" t="s">
        <v>243</v>
      </c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231"/>
      <c r="N7" s="231"/>
      <c r="O7" s="231"/>
      <c r="P7" s="231"/>
    </row>
    <row r="8" spans="1:16" ht="16.2" thickBot="1" x14ac:dyDescent="0.35">
      <c r="A8" s="240"/>
      <c r="B8" s="240"/>
      <c r="C8" s="240"/>
      <c r="D8" s="240"/>
      <c r="F8" s="3"/>
      <c r="G8" s="3"/>
      <c r="H8" s="3"/>
      <c r="I8" s="3"/>
      <c r="J8" s="145"/>
      <c r="K8" s="543" t="s">
        <v>101</v>
      </c>
      <c r="L8" s="543"/>
    </row>
    <row r="9" spans="1:16" x14ac:dyDescent="0.3">
      <c r="A9" s="544" t="s">
        <v>102</v>
      </c>
      <c r="B9" s="547" t="s">
        <v>144</v>
      </c>
      <c r="C9" s="547"/>
      <c r="D9" s="547"/>
      <c r="E9" s="548" t="s">
        <v>216</v>
      </c>
      <c r="F9" s="548"/>
      <c r="G9" s="548"/>
      <c r="H9" s="548"/>
      <c r="I9" s="548" t="s">
        <v>217</v>
      </c>
      <c r="J9" s="548"/>
      <c r="K9" s="548"/>
      <c r="L9" s="549" t="s">
        <v>208</v>
      </c>
    </row>
    <row r="10" spans="1:16" ht="31.2" x14ac:dyDescent="0.3">
      <c r="A10" s="545"/>
      <c r="B10" s="552" t="s">
        <v>146</v>
      </c>
      <c r="C10" s="552" t="s">
        <v>147</v>
      </c>
      <c r="D10" s="554" t="s">
        <v>148</v>
      </c>
      <c r="E10" s="241" t="s">
        <v>218</v>
      </c>
      <c r="F10" s="241" t="s">
        <v>219</v>
      </c>
      <c r="G10" s="242" t="s">
        <v>220</v>
      </c>
      <c r="H10" s="241" t="s">
        <v>156</v>
      </c>
      <c r="I10" s="533" t="s">
        <v>221</v>
      </c>
      <c r="J10" s="533" t="s">
        <v>219</v>
      </c>
      <c r="K10" s="533" t="s">
        <v>156</v>
      </c>
      <c r="L10" s="550"/>
    </row>
    <row r="11" spans="1:16" ht="16.2" thickBot="1" x14ac:dyDescent="0.35">
      <c r="A11" s="546"/>
      <c r="B11" s="553"/>
      <c r="C11" s="553"/>
      <c r="D11" s="555"/>
      <c r="E11" s="534" t="s">
        <v>222</v>
      </c>
      <c r="F11" s="534"/>
      <c r="G11" s="534"/>
      <c r="H11" s="534"/>
      <c r="I11" s="534"/>
      <c r="J11" s="534"/>
      <c r="K11" s="534"/>
      <c r="L11" s="551"/>
    </row>
    <row r="12" spans="1:16" x14ac:dyDescent="0.3">
      <c r="A12" s="535" t="s">
        <v>223</v>
      </c>
      <c r="B12" s="536"/>
      <c r="C12" s="536"/>
      <c r="D12" s="536"/>
      <c r="E12" s="536"/>
      <c r="F12" s="536"/>
      <c r="G12" s="536"/>
      <c r="H12" s="536"/>
      <c r="I12" s="536"/>
      <c r="J12" s="536"/>
      <c r="K12" s="536"/>
      <c r="L12" s="537"/>
    </row>
    <row r="13" spans="1:16" s="250" customFormat="1" x14ac:dyDescent="0.3">
      <c r="A13" s="244" t="s">
        <v>1</v>
      </c>
      <c r="B13" s="245" t="s">
        <v>157</v>
      </c>
      <c r="C13" s="245" t="s">
        <v>158</v>
      </c>
      <c r="D13" s="246">
        <v>0.95</v>
      </c>
      <c r="E13" s="247">
        <f>2507096+297482</f>
        <v>2804578</v>
      </c>
      <c r="F13" s="247">
        <v>0</v>
      </c>
      <c r="G13" s="247">
        <v>294953</v>
      </c>
      <c r="H13" s="247">
        <f t="shared" ref="H13:H23" si="0">SUM(E13:G13)</f>
        <v>3099531</v>
      </c>
      <c r="I13" s="247">
        <f>2949525+349979</f>
        <v>3299504</v>
      </c>
      <c r="J13" s="247">
        <v>0</v>
      </c>
      <c r="K13" s="247">
        <f t="shared" ref="K13:K37" si="1">SUM(I13:J13)</f>
        <v>3299504</v>
      </c>
      <c r="L13" s="248">
        <v>199973</v>
      </c>
      <c r="M13" s="249"/>
      <c r="N13" s="249"/>
    </row>
    <row r="14" spans="1:16" s="250" customFormat="1" x14ac:dyDescent="0.3">
      <c r="A14" s="244" t="s">
        <v>2</v>
      </c>
      <c r="B14" s="245" t="s">
        <v>161</v>
      </c>
      <c r="C14" s="245" t="s">
        <v>162</v>
      </c>
      <c r="D14" s="246">
        <v>0.95</v>
      </c>
      <c r="E14" s="247">
        <f>669271+1625328</f>
        <v>2294599</v>
      </c>
      <c r="F14" s="247">
        <v>0</v>
      </c>
      <c r="G14" s="247">
        <v>78738</v>
      </c>
      <c r="H14" s="247">
        <f t="shared" si="0"/>
        <v>2373337</v>
      </c>
      <c r="I14" s="247">
        <v>787378</v>
      </c>
      <c r="J14" s="247">
        <v>0</v>
      </c>
      <c r="K14" s="247">
        <f t="shared" si="1"/>
        <v>787378</v>
      </c>
      <c r="L14" s="248">
        <v>39369</v>
      </c>
      <c r="M14" s="249"/>
    </row>
    <row r="15" spans="1:16" s="253" customFormat="1" x14ac:dyDescent="0.3">
      <c r="A15" s="244" t="s">
        <v>4</v>
      </c>
      <c r="B15" s="245" t="s">
        <v>163</v>
      </c>
      <c r="C15" s="245" t="s">
        <v>164</v>
      </c>
      <c r="D15" s="246">
        <v>0.95</v>
      </c>
      <c r="E15" s="251">
        <f>13733994+1182253</f>
        <v>14916247</v>
      </c>
      <c r="F15" s="247">
        <v>0</v>
      </c>
      <c r="G15" s="251">
        <v>1615764</v>
      </c>
      <c r="H15" s="251">
        <f t="shared" si="0"/>
        <v>16532011</v>
      </c>
      <c r="I15" s="251">
        <v>16157640</v>
      </c>
      <c r="J15" s="247">
        <v>0</v>
      </c>
      <c r="K15" s="251">
        <f t="shared" si="1"/>
        <v>16157640</v>
      </c>
      <c r="L15" s="252">
        <v>807882</v>
      </c>
    </row>
    <row r="16" spans="1:16" s="250" customFormat="1" x14ac:dyDescent="0.3">
      <c r="A16" s="244" t="s">
        <v>108</v>
      </c>
      <c r="B16" s="245" t="s">
        <v>165</v>
      </c>
      <c r="C16" s="245" t="s">
        <v>166</v>
      </c>
      <c r="D16" s="246">
        <v>0.95</v>
      </c>
      <c r="E16" s="247">
        <v>11717822</v>
      </c>
      <c r="F16" s="247">
        <v>0</v>
      </c>
      <c r="G16" s="247">
        <v>1378567</v>
      </c>
      <c r="H16" s="247">
        <f t="shared" si="0"/>
        <v>13096389</v>
      </c>
      <c r="I16" s="247">
        <v>13785673</v>
      </c>
      <c r="J16" s="247">
        <v>0</v>
      </c>
      <c r="K16" s="247">
        <f t="shared" si="1"/>
        <v>13785673</v>
      </c>
      <c r="L16" s="248">
        <v>689284</v>
      </c>
    </row>
    <row r="17" spans="1:15" s="250" customFormat="1" x14ac:dyDescent="0.3">
      <c r="A17" s="244" t="s">
        <v>110</v>
      </c>
      <c r="B17" s="245" t="s">
        <v>167</v>
      </c>
      <c r="C17" s="245" t="s">
        <v>168</v>
      </c>
      <c r="D17" s="246">
        <v>0.95</v>
      </c>
      <c r="E17" s="247">
        <f>4826130+2414291+19258108</f>
        <v>26498529</v>
      </c>
      <c r="F17" s="247">
        <v>0</v>
      </c>
      <c r="G17" s="254">
        <v>567780</v>
      </c>
      <c r="H17" s="254">
        <f t="shared" si="0"/>
        <v>27066309</v>
      </c>
      <c r="I17" s="254">
        <v>5677800</v>
      </c>
      <c r="J17" s="247">
        <v>0</v>
      </c>
      <c r="K17" s="254">
        <f t="shared" si="1"/>
        <v>5677800</v>
      </c>
      <c r="L17" s="248">
        <v>283890</v>
      </c>
      <c r="M17" s="249"/>
    </row>
    <row r="18" spans="1:15" x14ac:dyDescent="0.3">
      <c r="A18" s="179" t="s">
        <v>111</v>
      </c>
      <c r="B18" s="183" t="s">
        <v>169</v>
      </c>
      <c r="C18" s="183" t="s">
        <v>170</v>
      </c>
      <c r="D18" s="255">
        <v>0.95</v>
      </c>
      <c r="E18" s="180">
        <f>14088912+511994-2469250</f>
        <v>12131656</v>
      </c>
      <c r="F18" s="180">
        <v>2469250</v>
      </c>
      <c r="G18" s="182">
        <v>1657519</v>
      </c>
      <c r="H18" s="182">
        <f t="shared" si="0"/>
        <v>16258425</v>
      </c>
      <c r="I18" s="182">
        <f>14575191-302654</f>
        <v>14272537</v>
      </c>
      <c r="J18" s="180">
        <f>2000000+905000</f>
        <v>2905000</v>
      </c>
      <c r="K18" s="182">
        <f>SUM(I18:J18)</f>
        <v>17177537</v>
      </c>
      <c r="L18" s="181">
        <v>919112</v>
      </c>
      <c r="N18" s="178"/>
    </row>
    <row r="19" spans="1:15" x14ac:dyDescent="0.3">
      <c r="A19" s="179" t="s">
        <v>113</v>
      </c>
      <c r="B19" s="183" t="s">
        <v>171</v>
      </c>
      <c r="C19" s="183" t="s">
        <v>172</v>
      </c>
      <c r="D19" s="255">
        <v>0.9395</v>
      </c>
      <c r="E19" s="180">
        <f>1878027+2843869</f>
        <v>4721896</v>
      </c>
      <c r="F19" s="180">
        <v>0</v>
      </c>
      <c r="G19" s="182">
        <v>0</v>
      </c>
      <c r="H19" s="182">
        <f t="shared" si="0"/>
        <v>4721896</v>
      </c>
      <c r="I19" s="182">
        <f>1997901+50378</f>
        <v>2048279</v>
      </c>
      <c r="J19" s="182">
        <v>0</v>
      </c>
      <c r="K19" s="182">
        <f>SUM(I19:J19)</f>
        <v>2048279</v>
      </c>
      <c r="L19" s="181">
        <v>119874</v>
      </c>
      <c r="M19" s="178"/>
    </row>
    <row r="20" spans="1:15" x14ac:dyDescent="0.3">
      <c r="A20" s="179" t="s">
        <v>115</v>
      </c>
      <c r="B20" s="183" t="s">
        <v>173</v>
      </c>
      <c r="C20" s="183">
        <v>101035163</v>
      </c>
      <c r="D20" s="255">
        <v>0.60099999999999998</v>
      </c>
      <c r="E20" s="180">
        <f>11118800-500000</f>
        <v>10618800</v>
      </c>
      <c r="F20" s="180">
        <v>500000</v>
      </c>
      <c r="G20" s="182">
        <v>0</v>
      </c>
      <c r="H20" s="182">
        <f t="shared" si="0"/>
        <v>11118800</v>
      </c>
      <c r="I20" s="182">
        <f>18500733-500000</f>
        <v>18000733</v>
      </c>
      <c r="J20" s="182">
        <v>500000</v>
      </c>
      <c r="K20" s="182">
        <f>SUM(I20:J20)</f>
        <v>18500733</v>
      </c>
      <c r="L20" s="181">
        <v>7381933</v>
      </c>
      <c r="M20" s="178"/>
    </row>
    <row r="21" spans="1:15" x14ac:dyDescent="0.3">
      <c r="A21" s="179" t="s">
        <v>117</v>
      </c>
      <c r="B21" s="183" t="s">
        <v>224</v>
      </c>
      <c r="C21" s="183">
        <v>101074095</v>
      </c>
      <c r="D21" s="255">
        <v>0.9</v>
      </c>
      <c r="E21" s="180">
        <f>6654762+4242582</f>
        <v>10897344</v>
      </c>
      <c r="F21" s="180">
        <v>0</v>
      </c>
      <c r="G21" s="182">
        <v>0</v>
      </c>
      <c r="H21" s="182">
        <f t="shared" si="0"/>
        <v>10897344</v>
      </c>
      <c r="I21" s="182">
        <f>7394180+4242582</f>
        <v>11636762</v>
      </c>
      <c r="J21" s="182">
        <v>0</v>
      </c>
      <c r="K21" s="182">
        <f>SUM(I21:J21)</f>
        <v>11636762</v>
      </c>
      <c r="L21" s="181">
        <v>739418</v>
      </c>
      <c r="M21" s="178"/>
    </row>
    <row r="22" spans="1:15" x14ac:dyDescent="0.3">
      <c r="A22" s="179" t="s">
        <v>118</v>
      </c>
      <c r="B22" s="256" t="s">
        <v>174</v>
      </c>
      <c r="C22" s="257" t="s">
        <v>175</v>
      </c>
      <c r="D22" s="255">
        <v>1</v>
      </c>
      <c r="E22" s="180">
        <f>2413535+1508205</f>
        <v>3921740</v>
      </c>
      <c r="F22" s="180">
        <v>0</v>
      </c>
      <c r="G22" s="182">
        <v>0</v>
      </c>
      <c r="H22" s="180">
        <f t="shared" si="0"/>
        <v>3921740</v>
      </c>
      <c r="I22" s="182">
        <v>2413535</v>
      </c>
      <c r="J22" s="182">
        <v>0</v>
      </c>
      <c r="K22" s="180">
        <f t="shared" si="1"/>
        <v>2413535</v>
      </c>
      <c r="L22" s="181">
        <v>0</v>
      </c>
    </row>
    <row r="23" spans="1:15" x14ac:dyDescent="0.3">
      <c r="A23" s="179" t="s">
        <v>120</v>
      </c>
      <c r="B23" s="256" t="s">
        <v>176</v>
      </c>
      <c r="C23" s="337" t="s">
        <v>177</v>
      </c>
      <c r="D23" s="255">
        <v>1</v>
      </c>
      <c r="E23" s="180">
        <v>0</v>
      </c>
      <c r="F23" s="180">
        <v>0</v>
      </c>
      <c r="G23" s="182">
        <v>170533037</v>
      </c>
      <c r="H23" s="180">
        <f t="shared" si="0"/>
        <v>170533037</v>
      </c>
      <c r="I23" s="182">
        <v>48596283</v>
      </c>
      <c r="J23" s="180">
        <v>121936754</v>
      </c>
      <c r="K23" s="180">
        <f t="shared" si="1"/>
        <v>170533037</v>
      </c>
      <c r="L23" s="181">
        <f t="shared" ref="L23:L37" si="2">K23-H23</f>
        <v>0</v>
      </c>
    </row>
    <row r="24" spans="1:15" x14ac:dyDescent="0.3">
      <c r="A24" s="179" t="s">
        <v>122</v>
      </c>
      <c r="B24" s="256" t="s">
        <v>178</v>
      </c>
      <c r="C24" s="257" t="s">
        <v>179</v>
      </c>
      <c r="D24" s="255">
        <v>1</v>
      </c>
      <c r="E24" s="180">
        <v>370719560</v>
      </c>
      <c r="F24" s="180">
        <v>0</v>
      </c>
      <c r="G24" s="182">
        <v>304217826</v>
      </c>
      <c r="H24" s="182">
        <f t="shared" ref="H24:H37" si="3">SUM(E24:G24)</f>
        <v>674937386</v>
      </c>
      <c r="I24" s="182">
        <v>581253858</v>
      </c>
      <c r="J24" s="182">
        <v>93683528</v>
      </c>
      <c r="K24" s="182">
        <f t="shared" si="1"/>
        <v>674937386</v>
      </c>
      <c r="L24" s="181">
        <f t="shared" si="2"/>
        <v>0</v>
      </c>
    </row>
    <row r="25" spans="1:15" x14ac:dyDescent="0.3">
      <c r="A25" s="179" t="s">
        <v>123</v>
      </c>
      <c r="B25" s="256" t="s">
        <v>180</v>
      </c>
      <c r="C25" s="257" t="s">
        <v>181</v>
      </c>
      <c r="D25" s="255">
        <v>1</v>
      </c>
      <c r="E25" s="180">
        <f>6232150</f>
        <v>6232150</v>
      </c>
      <c r="F25" s="180">
        <v>0</v>
      </c>
      <c r="G25" s="182">
        <v>48119772</v>
      </c>
      <c r="H25" s="182">
        <f t="shared" si="3"/>
        <v>54351922</v>
      </c>
      <c r="I25" s="182">
        <v>6209772</v>
      </c>
      <c r="J25" s="182">
        <f>41910000+6232150</f>
        <v>48142150</v>
      </c>
      <c r="K25" s="182">
        <f t="shared" si="1"/>
        <v>54351922</v>
      </c>
      <c r="L25" s="181">
        <f t="shared" si="2"/>
        <v>0</v>
      </c>
      <c r="M25" s="178"/>
      <c r="O25" s="178"/>
    </row>
    <row r="26" spans="1:15" x14ac:dyDescent="0.3">
      <c r="A26" s="179" t="s">
        <v>124</v>
      </c>
      <c r="B26" s="256" t="s">
        <v>225</v>
      </c>
      <c r="C26" s="338" t="s">
        <v>226</v>
      </c>
      <c r="D26" s="255">
        <v>1</v>
      </c>
      <c r="E26" s="180">
        <f>106831282+27483222</f>
        <v>134314504</v>
      </c>
      <c r="F26" s="180">
        <f>27483222-27483222</f>
        <v>0</v>
      </c>
      <c r="G26" s="182">
        <v>0</v>
      </c>
      <c r="H26" s="180">
        <f t="shared" si="3"/>
        <v>134314504</v>
      </c>
      <c r="I26" s="182">
        <v>106831282</v>
      </c>
      <c r="J26" s="182">
        <v>27483222</v>
      </c>
      <c r="K26" s="180">
        <f>SUM(I26:J26)</f>
        <v>134314504</v>
      </c>
      <c r="L26" s="181">
        <f>K26-H26</f>
        <v>0</v>
      </c>
    </row>
    <row r="27" spans="1:15" ht="15.75" customHeight="1" x14ac:dyDescent="0.3">
      <c r="A27" s="179" t="s">
        <v>126</v>
      </c>
      <c r="B27" s="258" t="s">
        <v>227</v>
      </c>
      <c r="C27" s="257" t="s">
        <v>228</v>
      </c>
      <c r="D27" s="255">
        <v>1</v>
      </c>
      <c r="E27" s="180">
        <v>90000000</v>
      </c>
      <c r="F27" s="180">
        <v>10000000</v>
      </c>
      <c r="G27" s="182">
        <v>0</v>
      </c>
      <c r="H27" s="180">
        <f t="shared" si="3"/>
        <v>100000000</v>
      </c>
      <c r="I27" s="182">
        <v>90000000</v>
      </c>
      <c r="J27" s="182">
        <v>10000000</v>
      </c>
      <c r="K27" s="180">
        <f>SUM(I27:J27)</f>
        <v>100000000</v>
      </c>
      <c r="L27" s="181">
        <f>K27-H27</f>
        <v>0</v>
      </c>
    </row>
    <row r="28" spans="1:15" x14ac:dyDescent="0.3">
      <c r="A28" s="179" t="s">
        <v>128</v>
      </c>
      <c r="B28" s="256" t="s">
        <v>182</v>
      </c>
      <c r="C28" s="257" t="s">
        <v>183</v>
      </c>
      <c r="D28" s="255">
        <v>1</v>
      </c>
      <c r="E28" s="180">
        <f>30621+642383</f>
        <v>673004</v>
      </c>
      <c r="F28" s="180">
        <v>0</v>
      </c>
      <c r="G28" s="182">
        <v>0</v>
      </c>
      <c r="H28" s="182">
        <f t="shared" si="3"/>
        <v>673004</v>
      </c>
      <c r="I28" s="182">
        <v>122000</v>
      </c>
      <c r="J28" s="180">
        <v>0</v>
      </c>
      <c r="K28" s="182">
        <f t="shared" si="1"/>
        <v>122000</v>
      </c>
      <c r="L28" s="181">
        <v>0</v>
      </c>
      <c r="M28" s="178"/>
      <c r="O28" s="178"/>
    </row>
    <row r="29" spans="1:15" x14ac:dyDescent="0.3">
      <c r="A29" s="179" t="s">
        <v>135</v>
      </c>
      <c r="B29" s="256" t="s">
        <v>184</v>
      </c>
      <c r="C29" s="257" t="s">
        <v>185</v>
      </c>
      <c r="D29" s="255">
        <v>1</v>
      </c>
      <c r="E29" s="180">
        <f>122000+1470724</f>
        <v>1592724</v>
      </c>
      <c r="F29" s="180">
        <v>0</v>
      </c>
      <c r="G29" s="182">
        <v>0</v>
      </c>
      <c r="H29" s="182">
        <f t="shared" si="3"/>
        <v>1592724</v>
      </c>
      <c r="I29" s="182">
        <v>30621</v>
      </c>
      <c r="J29" s="182">
        <v>0</v>
      </c>
      <c r="K29" s="182">
        <f t="shared" si="1"/>
        <v>30621</v>
      </c>
      <c r="L29" s="181">
        <v>0</v>
      </c>
      <c r="M29" s="178"/>
    </row>
    <row r="30" spans="1:15" x14ac:dyDescent="0.3">
      <c r="A30" s="244" t="s">
        <v>136</v>
      </c>
      <c r="B30" s="259" t="s">
        <v>186</v>
      </c>
      <c r="C30" s="260" t="s">
        <v>187</v>
      </c>
      <c r="D30" s="246">
        <v>1</v>
      </c>
      <c r="E30" s="247">
        <v>4838032</v>
      </c>
      <c r="F30" s="247">
        <v>0</v>
      </c>
      <c r="G30" s="254">
        <v>2660891</v>
      </c>
      <c r="H30" s="182">
        <f t="shared" si="3"/>
        <v>7498923</v>
      </c>
      <c r="I30" s="254">
        <v>7498923</v>
      </c>
      <c r="J30" s="180">
        <v>0</v>
      </c>
      <c r="K30" s="182">
        <f t="shared" si="1"/>
        <v>7498923</v>
      </c>
      <c r="L30" s="248">
        <f t="shared" si="2"/>
        <v>0</v>
      </c>
      <c r="M30" s="178"/>
    </row>
    <row r="31" spans="1:15" x14ac:dyDescent="0.3">
      <c r="A31" s="244" t="s">
        <v>137</v>
      </c>
      <c r="B31" s="259" t="s">
        <v>188</v>
      </c>
      <c r="C31" s="260" t="s">
        <v>189</v>
      </c>
      <c r="D31" s="246">
        <v>1</v>
      </c>
      <c r="E31" s="247">
        <v>13883500</v>
      </c>
      <c r="F31" s="247">
        <v>0</v>
      </c>
      <c r="G31" s="254">
        <v>1989777</v>
      </c>
      <c r="H31" s="180">
        <f t="shared" si="3"/>
        <v>15873277</v>
      </c>
      <c r="I31" s="254">
        <v>15873277</v>
      </c>
      <c r="J31" s="180">
        <v>0</v>
      </c>
      <c r="K31" s="180">
        <f t="shared" si="1"/>
        <v>15873277</v>
      </c>
      <c r="L31" s="248">
        <f t="shared" si="2"/>
        <v>0</v>
      </c>
      <c r="M31" s="178"/>
    </row>
    <row r="32" spans="1:15" x14ac:dyDescent="0.3">
      <c r="A32" s="244" t="s">
        <v>138</v>
      </c>
      <c r="B32" s="259" t="s">
        <v>190</v>
      </c>
      <c r="C32" s="260" t="s">
        <v>191</v>
      </c>
      <c r="D32" s="246">
        <v>1</v>
      </c>
      <c r="E32" s="247">
        <v>20534778</v>
      </c>
      <c r="F32" s="247">
        <v>0</v>
      </c>
      <c r="G32" s="254">
        <v>9431011</v>
      </c>
      <c r="H32" s="180">
        <f t="shared" si="3"/>
        <v>29965789</v>
      </c>
      <c r="I32" s="254">
        <v>29965789</v>
      </c>
      <c r="J32" s="180">
        <v>0</v>
      </c>
      <c r="K32" s="180">
        <f t="shared" si="1"/>
        <v>29965789</v>
      </c>
      <c r="L32" s="248">
        <f t="shared" si="2"/>
        <v>0</v>
      </c>
      <c r="M32" s="178"/>
    </row>
    <row r="33" spans="1:13" x14ac:dyDescent="0.3">
      <c r="A33" s="244" t="s">
        <v>139</v>
      </c>
      <c r="B33" s="259" t="s">
        <v>192</v>
      </c>
      <c r="C33" s="260" t="s">
        <v>193</v>
      </c>
      <c r="D33" s="246">
        <v>1</v>
      </c>
      <c r="E33" s="247">
        <v>20975000</v>
      </c>
      <c r="F33" s="247">
        <v>0</v>
      </c>
      <c r="G33" s="254">
        <v>8741100</v>
      </c>
      <c r="H33" s="182">
        <f t="shared" si="3"/>
        <v>29716100</v>
      </c>
      <c r="I33" s="254">
        <v>29716100</v>
      </c>
      <c r="J33" s="180">
        <v>0</v>
      </c>
      <c r="K33" s="182">
        <f t="shared" si="1"/>
        <v>29716100</v>
      </c>
      <c r="L33" s="248">
        <f t="shared" si="2"/>
        <v>0</v>
      </c>
      <c r="M33" s="178"/>
    </row>
    <row r="34" spans="1:13" x14ac:dyDescent="0.3">
      <c r="A34" s="244" t="s">
        <v>140</v>
      </c>
      <c r="B34" s="259" t="s">
        <v>194</v>
      </c>
      <c r="C34" s="260" t="s">
        <v>195</v>
      </c>
      <c r="D34" s="246">
        <v>1</v>
      </c>
      <c r="E34" s="247">
        <v>5914308</v>
      </c>
      <c r="F34" s="247">
        <v>0</v>
      </c>
      <c r="G34" s="254">
        <v>8858595</v>
      </c>
      <c r="H34" s="182">
        <f t="shared" si="3"/>
        <v>14772903</v>
      </c>
      <c r="I34" s="254">
        <v>14772903</v>
      </c>
      <c r="J34" s="182">
        <v>0</v>
      </c>
      <c r="K34" s="182">
        <f t="shared" si="1"/>
        <v>14772903</v>
      </c>
      <c r="L34" s="248">
        <f t="shared" si="2"/>
        <v>0</v>
      </c>
      <c r="M34" s="178"/>
    </row>
    <row r="35" spans="1:13" x14ac:dyDescent="0.3">
      <c r="A35" s="244" t="s">
        <v>141</v>
      </c>
      <c r="B35" s="259" t="s">
        <v>196</v>
      </c>
      <c r="C35" s="260" t="s">
        <v>197</v>
      </c>
      <c r="D35" s="246">
        <v>1</v>
      </c>
      <c r="E35" s="247">
        <v>10600000</v>
      </c>
      <c r="F35" s="247">
        <v>0</v>
      </c>
      <c r="G35" s="254">
        <v>1004892</v>
      </c>
      <c r="H35" s="182">
        <f t="shared" si="3"/>
        <v>11604892</v>
      </c>
      <c r="I35" s="254">
        <v>11604892</v>
      </c>
      <c r="J35" s="180">
        <v>0</v>
      </c>
      <c r="K35" s="182">
        <f t="shared" si="1"/>
        <v>11604892</v>
      </c>
      <c r="L35" s="248">
        <f t="shared" si="2"/>
        <v>0</v>
      </c>
      <c r="M35" s="178"/>
    </row>
    <row r="36" spans="1:13" x14ac:dyDescent="0.3">
      <c r="A36" s="244" t="s">
        <v>198</v>
      </c>
      <c r="B36" s="259" t="s">
        <v>199</v>
      </c>
      <c r="C36" s="260" t="s">
        <v>200</v>
      </c>
      <c r="D36" s="246">
        <v>1</v>
      </c>
      <c r="E36" s="247">
        <v>15890588</v>
      </c>
      <c r="F36" s="247">
        <v>0</v>
      </c>
      <c r="G36" s="254">
        <v>6568570</v>
      </c>
      <c r="H36" s="182">
        <f t="shared" si="3"/>
        <v>22459158</v>
      </c>
      <c r="I36" s="254">
        <v>22459158</v>
      </c>
      <c r="J36" s="180">
        <v>0</v>
      </c>
      <c r="K36" s="182">
        <f t="shared" si="1"/>
        <v>22459158</v>
      </c>
      <c r="L36" s="248">
        <f t="shared" si="2"/>
        <v>0</v>
      </c>
      <c r="M36" s="178"/>
    </row>
    <row r="37" spans="1:13" x14ac:dyDescent="0.3">
      <c r="A37" s="244" t="s">
        <v>201</v>
      </c>
      <c r="B37" s="259" t="s">
        <v>202</v>
      </c>
      <c r="C37" s="260" t="s">
        <v>203</v>
      </c>
      <c r="D37" s="246">
        <v>1</v>
      </c>
      <c r="E37" s="247">
        <v>21954165</v>
      </c>
      <c r="F37" s="180">
        <v>0</v>
      </c>
      <c r="G37" s="254">
        <v>225894</v>
      </c>
      <c r="H37" s="182">
        <f t="shared" si="3"/>
        <v>22180059</v>
      </c>
      <c r="I37" s="254">
        <v>22180059</v>
      </c>
      <c r="J37" s="182">
        <v>0</v>
      </c>
      <c r="K37" s="182">
        <f t="shared" si="1"/>
        <v>22180059</v>
      </c>
      <c r="L37" s="248">
        <f t="shared" si="2"/>
        <v>0</v>
      </c>
      <c r="M37" s="178"/>
    </row>
    <row r="38" spans="1:13" ht="16.2" thickBot="1" x14ac:dyDescent="0.35">
      <c r="A38" s="538" t="s">
        <v>229</v>
      </c>
      <c r="B38" s="539"/>
      <c r="C38" s="539"/>
      <c r="D38" s="539"/>
      <c r="E38" s="261">
        <f t="shared" ref="E38:L38" si="4">SUM(E13:E37)</f>
        <v>818645524</v>
      </c>
      <c r="F38" s="261">
        <f>SUM(F13:F37)</f>
        <v>12969250</v>
      </c>
      <c r="G38" s="261">
        <f t="shared" si="4"/>
        <v>567944686</v>
      </c>
      <c r="H38" s="261">
        <f t="shared" si="4"/>
        <v>1399559460</v>
      </c>
      <c r="I38" s="261">
        <f t="shared" si="4"/>
        <v>1075194758</v>
      </c>
      <c r="J38" s="261">
        <f t="shared" si="4"/>
        <v>304650654</v>
      </c>
      <c r="K38" s="261">
        <f t="shared" si="4"/>
        <v>1379845412</v>
      </c>
      <c r="L38" s="262">
        <f t="shared" si="4"/>
        <v>11180735</v>
      </c>
    </row>
    <row r="39" spans="1:13" x14ac:dyDescent="0.3">
      <c r="A39" s="540" t="s">
        <v>230</v>
      </c>
      <c r="B39" s="541"/>
      <c r="C39" s="541"/>
      <c r="D39" s="541"/>
      <c r="E39" s="541"/>
      <c r="F39" s="541"/>
      <c r="G39" s="541"/>
      <c r="H39" s="541"/>
      <c r="I39" s="541"/>
      <c r="J39" s="541"/>
      <c r="K39" s="541"/>
      <c r="L39" s="542"/>
    </row>
    <row r="40" spans="1:13" x14ac:dyDescent="0.3">
      <c r="A40" s="179" t="s">
        <v>1</v>
      </c>
      <c r="B40" s="257" t="s">
        <v>231</v>
      </c>
      <c r="C40" s="339" t="s">
        <v>175</v>
      </c>
      <c r="D40" s="255">
        <v>1</v>
      </c>
      <c r="E40" s="215">
        <f>3939167+2644270+33900000</f>
        <v>40483437</v>
      </c>
      <c r="F40" s="215">
        <v>0</v>
      </c>
      <c r="G40" s="215">
        <v>0</v>
      </c>
      <c r="H40" s="215">
        <f>E40+F40+G40</f>
        <v>40483437</v>
      </c>
      <c r="I40" s="215">
        <f>3939167+33900000</f>
        <v>37839167</v>
      </c>
      <c r="J40" s="215">
        <v>0</v>
      </c>
      <c r="K40" s="215">
        <f>I40+J40</f>
        <v>37839167</v>
      </c>
      <c r="L40" s="234">
        <v>0</v>
      </c>
    </row>
    <row r="41" spans="1:13" ht="16.2" thickBot="1" x14ac:dyDescent="0.35">
      <c r="A41" s="529" t="s">
        <v>232</v>
      </c>
      <c r="B41" s="530"/>
      <c r="C41" s="530"/>
      <c r="D41" s="530"/>
      <c r="E41" s="263">
        <f>SUM(E40)</f>
        <v>40483437</v>
      </c>
      <c r="F41" s="263">
        <f t="shared" ref="F41:L41" si="5">SUM(F40)</f>
        <v>0</v>
      </c>
      <c r="G41" s="263">
        <f t="shared" si="5"/>
        <v>0</v>
      </c>
      <c r="H41" s="263">
        <f t="shared" si="5"/>
        <v>40483437</v>
      </c>
      <c r="I41" s="263">
        <f t="shared" si="5"/>
        <v>37839167</v>
      </c>
      <c r="J41" s="263">
        <f t="shared" si="5"/>
        <v>0</v>
      </c>
      <c r="K41" s="263">
        <f t="shared" si="5"/>
        <v>37839167</v>
      </c>
      <c r="L41" s="264">
        <f t="shared" si="5"/>
        <v>0</v>
      </c>
    </row>
    <row r="42" spans="1:13" ht="16.2" thickBot="1" x14ac:dyDescent="0.35">
      <c r="A42" s="531" t="s">
        <v>204</v>
      </c>
      <c r="B42" s="532"/>
      <c r="C42" s="532"/>
      <c r="D42" s="532"/>
      <c r="E42" s="340">
        <f t="shared" ref="E42:L42" si="6">E38+E41</f>
        <v>859128961</v>
      </c>
      <c r="F42" s="340">
        <f t="shared" si="6"/>
        <v>12969250</v>
      </c>
      <c r="G42" s="340">
        <f t="shared" si="6"/>
        <v>567944686</v>
      </c>
      <c r="H42" s="340">
        <f t="shared" si="6"/>
        <v>1440042897</v>
      </c>
      <c r="I42" s="340">
        <f t="shared" si="6"/>
        <v>1113033925</v>
      </c>
      <c r="J42" s="340">
        <f t="shared" si="6"/>
        <v>304650654</v>
      </c>
      <c r="K42" s="340">
        <f t="shared" si="6"/>
        <v>1417684579</v>
      </c>
      <c r="L42" s="341">
        <f t="shared" si="6"/>
        <v>11180735</v>
      </c>
    </row>
  </sheetData>
  <mergeCells count="24">
    <mergeCell ref="A7:L7"/>
    <mergeCell ref="F1:L1"/>
    <mergeCell ref="F2:L2"/>
    <mergeCell ref="A4:L4"/>
    <mergeCell ref="A5:L5"/>
    <mergeCell ref="A6:L6"/>
    <mergeCell ref="K8:L8"/>
    <mergeCell ref="A9:A11"/>
    <mergeCell ref="B9:D9"/>
    <mergeCell ref="E9:H9"/>
    <mergeCell ref="I9:K9"/>
    <mergeCell ref="L9:L11"/>
    <mergeCell ref="B10:B11"/>
    <mergeCell ref="C10:C11"/>
    <mergeCell ref="D10:D11"/>
    <mergeCell ref="I10:I11"/>
    <mergeCell ref="A41:D41"/>
    <mergeCell ref="A42:D42"/>
    <mergeCell ref="J10:J11"/>
    <mergeCell ref="K10:K11"/>
    <mergeCell ref="E11:H11"/>
    <mergeCell ref="A12:L12"/>
    <mergeCell ref="A38:D38"/>
    <mergeCell ref="A39:L39"/>
  </mergeCells>
  <pageMargins left="0.11811023622047245" right="0.11811023622047245" top="0.15748031496062992" bottom="0.15748031496062992" header="0.31496062992125984" footer="0.31496062992125984"/>
  <pageSetup paperSize="9" scale="81" orientation="landscape" horizontalDpi="300" verticalDpi="300" r:id="rId1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47161-88E3-43B8-82D3-8B840963EBD2}">
  <sheetPr>
    <tabColor theme="7" tint="0.59999389629810485"/>
  </sheetPr>
  <dimension ref="A1:N92"/>
  <sheetViews>
    <sheetView zoomScaleNormal="100" workbookViewId="0">
      <selection activeCell="O8" sqref="O8"/>
    </sheetView>
  </sheetViews>
  <sheetFormatPr defaultColWidth="9.109375" defaultRowHeight="15.6" x14ac:dyDescent="0.3"/>
  <cols>
    <col min="1" max="1" width="4.5546875" style="184" customWidth="1"/>
    <col min="2" max="2" width="15.6640625" style="184" customWidth="1"/>
    <col min="3" max="3" width="27.6640625" style="184" customWidth="1"/>
    <col min="4" max="4" width="8.6640625" style="184" customWidth="1"/>
    <col min="5" max="7" width="13.6640625" style="184" customWidth="1"/>
    <col min="8" max="9" width="12.6640625" style="184" customWidth="1"/>
    <col min="10" max="10" width="14.6640625" style="184" customWidth="1"/>
    <col min="11" max="11" width="11.109375" style="184" customWidth="1"/>
    <col min="12" max="12" width="14.6640625" style="184" customWidth="1"/>
    <col min="13" max="16384" width="9.109375" style="184"/>
  </cols>
  <sheetData>
    <row r="1" spans="1:14" ht="18" customHeight="1" x14ac:dyDescent="0.3">
      <c r="E1" s="434" t="s">
        <v>240</v>
      </c>
      <c r="F1" s="434"/>
      <c r="G1" s="434"/>
      <c r="H1" s="434"/>
      <c r="I1" s="434"/>
      <c r="J1" s="434"/>
      <c r="K1" s="434"/>
      <c r="L1" s="434"/>
    </row>
    <row r="2" spans="1:14" ht="18" customHeight="1" x14ac:dyDescent="0.3">
      <c r="E2" s="434" t="s">
        <v>205</v>
      </c>
      <c r="F2" s="434"/>
      <c r="G2" s="434"/>
      <c r="H2" s="434"/>
      <c r="I2" s="434"/>
      <c r="J2" s="434"/>
      <c r="K2" s="434"/>
      <c r="L2" s="434"/>
    </row>
    <row r="3" spans="1:14" ht="12" customHeight="1" x14ac:dyDescent="0.3">
      <c r="A3" s="230"/>
      <c r="B3" s="230"/>
      <c r="C3" s="230"/>
      <c r="D3" s="230"/>
      <c r="E3" s="230"/>
      <c r="F3" s="30"/>
      <c r="G3" s="30"/>
      <c r="H3" s="30"/>
      <c r="I3" s="30"/>
      <c r="J3" s="30"/>
      <c r="K3" s="30"/>
      <c r="L3" s="30"/>
      <c r="M3" s="28"/>
    </row>
    <row r="4" spans="1:14" ht="15.9" customHeight="1" x14ac:dyDescent="0.3">
      <c r="A4" s="425" t="s">
        <v>248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</row>
    <row r="5" spans="1:14" s="185" customFormat="1" ht="15.9" customHeight="1" x14ac:dyDescent="0.3">
      <c r="A5" s="601" t="s">
        <v>206</v>
      </c>
      <c r="B5" s="601"/>
      <c r="C5" s="601"/>
      <c r="D5" s="601"/>
      <c r="E5" s="601"/>
      <c r="F5" s="601"/>
      <c r="G5" s="601"/>
      <c r="H5" s="601"/>
      <c r="I5" s="601"/>
      <c r="J5" s="601"/>
      <c r="K5" s="601"/>
      <c r="L5" s="601"/>
    </row>
    <row r="6" spans="1:14" s="29" customFormat="1" ht="15.9" customHeight="1" x14ac:dyDescent="0.3">
      <c r="A6" s="425" t="s">
        <v>97</v>
      </c>
      <c r="B6" s="425"/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231"/>
      <c r="N6" s="231"/>
    </row>
    <row r="7" spans="1:14" s="29" customFormat="1" ht="15.9" customHeight="1" x14ac:dyDescent="0.3">
      <c r="A7" s="425" t="s">
        <v>243</v>
      </c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231"/>
      <c r="N7" s="231"/>
    </row>
    <row r="8" spans="1:14" ht="18" customHeight="1" thickBot="1" x14ac:dyDescent="0.35">
      <c r="A8" s="232"/>
      <c r="B8" s="232"/>
      <c r="C8" s="232"/>
      <c r="D8" s="232"/>
      <c r="E8" s="232"/>
      <c r="H8" s="29"/>
      <c r="I8" s="29"/>
      <c r="J8" s="29"/>
      <c r="K8" s="602" t="s">
        <v>101</v>
      </c>
      <c r="L8" s="602"/>
    </row>
    <row r="9" spans="1:14" ht="15" customHeight="1" x14ac:dyDescent="0.3">
      <c r="A9" s="603" t="s">
        <v>102</v>
      </c>
      <c r="B9" s="606" t="s">
        <v>144</v>
      </c>
      <c r="C9" s="607"/>
      <c r="D9" s="608"/>
      <c r="E9" s="609" t="s">
        <v>207</v>
      </c>
      <c r="F9" s="610"/>
      <c r="G9" s="610"/>
      <c r="H9" s="610"/>
      <c r="I9" s="610"/>
      <c r="J9" s="611"/>
      <c r="K9" s="612" t="s">
        <v>208</v>
      </c>
      <c r="L9" s="615" t="s">
        <v>156</v>
      </c>
    </row>
    <row r="10" spans="1:14" ht="15" customHeight="1" x14ac:dyDescent="0.3">
      <c r="A10" s="604"/>
      <c r="B10" s="618" t="s">
        <v>146</v>
      </c>
      <c r="C10" s="618" t="s">
        <v>147</v>
      </c>
      <c r="D10" s="619" t="s">
        <v>148</v>
      </c>
      <c r="E10" s="618" t="s">
        <v>149</v>
      </c>
      <c r="F10" s="594" t="s">
        <v>150</v>
      </c>
      <c r="G10" s="595"/>
      <c r="H10" s="595"/>
      <c r="I10" s="595"/>
      <c r="J10" s="596"/>
      <c r="K10" s="613"/>
      <c r="L10" s="616"/>
    </row>
    <row r="11" spans="1:14" ht="15" customHeight="1" x14ac:dyDescent="0.3">
      <c r="A11" s="604"/>
      <c r="B11" s="613"/>
      <c r="C11" s="613"/>
      <c r="D11" s="620"/>
      <c r="E11" s="613"/>
      <c r="F11" s="594" t="s">
        <v>209</v>
      </c>
      <c r="G11" s="596"/>
      <c r="H11" s="597" t="s">
        <v>210</v>
      </c>
      <c r="I11" s="599" t="s">
        <v>211</v>
      </c>
      <c r="J11" s="597" t="s">
        <v>156</v>
      </c>
      <c r="K11" s="613"/>
      <c r="L11" s="616"/>
    </row>
    <row r="12" spans="1:14" ht="15" customHeight="1" thickBot="1" x14ac:dyDescent="0.35">
      <c r="A12" s="605"/>
      <c r="B12" s="614"/>
      <c r="C12" s="614"/>
      <c r="D12" s="621"/>
      <c r="E12" s="614"/>
      <c r="F12" s="233" t="s">
        <v>212</v>
      </c>
      <c r="G12" s="233" t="s">
        <v>213</v>
      </c>
      <c r="H12" s="598"/>
      <c r="I12" s="600"/>
      <c r="J12" s="598"/>
      <c r="K12" s="614"/>
      <c r="L12" s="617"/>
    </row>
    <row r="13" spans="1:14" ht="15" customHeight="1" x14ac:dyDescent="0.3">
      <c r="A13" s="565" t="s">
        <v>1</v>
      </c>
      <c r="B13" s="593" t="s">
        <v>157</v>
      </c>
      <c r="C13" s="593" t="s">
        <v>158</v>
      </c>
      <c r="D13" s="576">
        <v>0.95</v>
      </c>
      <c r="E13" s="202" t="s">
        <v>159</v>
      </c>
      <c r="F13" s="203">
        <v>0</v>
      </c>
      <c r="G13" s="203">
        <f>2507096+297482</f>
        <v>2804578</v>
      </c>
      <c r="H13" s="203">
        <v>0</v>
      </c>
      <c r="I13" s="203">
        <v>294953</v>
      </c>
      <c r="J13" s="203">
        <f>SUM(F13:I13)</f>
        <v>3099531</v>
      </c>
      <c r="K13" s="203">
        <v>199973</v>
      </c>
      <c r="L13" s="205">
        <f t="shared" ref="L13:L87" si="0">J13+K13</f>
        <v>3299504</v>
      </c>
    </row>
    <row r="14" spans="1:14" ht="15" customHeight="1" x14ac:dyDescent="0.3">
      <c r="A14" s="566"/>
      <c r="B14" s="591"/>
      <c r="C14" s="591"/>
      <c r="D14" s="572"/>
      <c r="E14" s="183" t="s">
        <v>160</v>
      </c>
      <c r="F14" s="215">
        <v>0</v>
      </c>
      <c r="G14" s="215">
        <v>0</v>
      </c>
      <c r="H14" s="215">
        <v>0</v>
      </c>
      <c r="I14" s="215">
        <v>0</v>
      </c>
      <c r="J14" s="215">
        <v>0</v>
      </c>
      <c r="K14" s="215">
        <v>0</v>
      </c>
      <c r="L14" s="234">
        <f t="shared" si="0"/>
        <v>0</v>
      </c>
    </row>
    <row r="15" spans="1:14" ht="15" customHeight="1" thickBot="1" x14ac:dyDescent="0.35">
      <c r="A15" s="567"/>
      <c r="B15" s="592"/>
      <c r="C15" s="592"/>
      <c r="D15" s="573"/>
      <c r="E15" s="235" t="s">
        <v>156</v>
      </c>
      <c r="F15" s="200">
        <f t="shared" ref="F15:K15" si="1">SUM(F13:F14)</f>
        <v>0</v>
      </c>
      <c r="G15" s="200">
        <f t="shared" si="1"/>
        <v>2804578</v>
      </c>
      <c r="H15" s="200">
        <f t="shared" si="1"/>
        <v>0</v>
      </c>
      <c r="I15" s="200">
        <f t="shared" si="1"/>
        <v>294953</v>
      </c>
      <c r="J15" s="200">
        <f t="shared" si="1"/>
        <v>3099531</v>
      </c>
      <c r="K15" s="200">
        <f t="shared" si="1"/>
        <v>199973</v>
      </c>
      <c r="L15" s="201">
        <f t="shared" si="0"/>
        <v>3299504</v>
      </c>
    </row>
    <row r="16" spans="1:14" s="194" customFormat="1" ht="15" customHeight="1" x14ac:dyDescent="0.3">
      <c r="A16" s="565" t="s">
        <v>2</v>
      </c>
      <c r="B16" s="593" t="s">
        <v>161</v>
      </c>
      <c r="C16" s="593" t="s">
        <v>162</v>
      </c>
      <c r="D16" s="576">
        <v>0.95</v>
      </c>
      <c r="E16" s="190" t="s">
        <v>159</v>
      </c>
      <c r="F16" s="191">
        <v>0</v>
      </c>
      <c r="G16" s="191">
        <f>669271+1625328</f>
        <v>2294599</v>
      </c>
      <c r="H16" s="191">
        <v>0</v>
      </c>
      <c r="I16" s="191">
        <v>78738</v>
      </c>
      <c r="J16" s="191">
        <f>SUM(F16:I16)</f>
        <v>2373337</v>
      </c>
      <c r="K16" s="191">
        <v>39369</v>
      </c>
      <c r="L16" s="193">
        <f t="shared" si="0"/>
        <v>2412706</v>
      </c>
    </row>
    <row r="17" spans="1:13" ht="15" customHeight="1" x14ac:dyDescent="0.3">
      <c r="A17" s="566"/>
      <c r="B17" s="591"/>
      <c r="C17" s="591"/>
      <c r="D17" s="572"/>
      <c r="E17" s="183" t="s">
        <v>160</v>
      </c>
      <c r="F17" s="215">
        <v>0</v>
      </c>
      <c r="G17" s="215">
        <v>0</v>
      </c>
      <c r="H17" s="215">
        <v>0</v>
      </c>
      <c r="I17" s="215"/>
      <c r="J17" s="215">
        <v>0</v>
      </c>
      <c r="K17" s="215">
        <v>0</v>
      </c>
      <c r="L17" s="234">
        <f t="shared" si="0"/>
        <v>0</v>
      </c>
    </row>
    <row r="18" spans="1:13" ht="15" customHeight="1" thickBot="1" x14ac:dyDescent="0.35">
      <c r="A18" s="567"/>
      <c r="B18" s="592"/>
      <c r="C18" s="592"/>
      <c r="D18" s="573"/>
      <c r="E18" s="235" t="s">
        <v>156</v>
      </c>
      <c r="F18" s="200">
        <f t="shared" ref="F18:K18" si="2">SUM(F16:F17)</f>
        <v>0</v>
      </c>
      <c r="G18" s="200">
        <f t="shared" si="2"/>
        <v>2294599</v>
      </c>
      <c r="H18" s="200">
        <f t="shared" si="2"/>
        <v>0</v>
      </c>
      <c r="I18" s="200">
        <f t="shared" si="2"/>
        <v>78738</v>
      </c>
      <c r="J18" s="200">
        <f t="shared" si="2"/>
        <v>2373337</v>
      </c>
      <c r="K18" s="200">
        <f t="shared" si="2"/>
        <v>39369</v>
      </c>
      <c r="L18" s="201">
        <f t="shared" si="0"/>
        <v>2412706</v>
      </c>
    </row>
    <row r="19" spans="1:13" ht="15" customHeight="1" x14ac:dyDescent="0.3">
      <c r="A19" s="565" t="s">
        <v>4</v>
      </c>
      <c r="B19" s="593" t="s">
        <v>163</v>
      </c>
      <c r="C19" s="593" t="s">
        <v>164</v>
      </c>
      <c r="D19" s="576">
        <v>0.95</v>
      </c>
      <c r="E19" s="202" t="s">
        <v>159</v>
      </c>
      <c r="F19" s="203">
        <v>0</v>
      </c>
      <c r="G19" s="203">
        <f>13733994+1182253</f>
        <v>14916247</v>
      </c>
      <c r="H19" s="203">
        <v>0</v>
      </c>
      <c r="I19" s="203">
        <v>1615764</v>
      </c>
      <c r="J19" s="203">
        <f>SUM(F19:I19)</f>
        <v>16532011</v>
      </c>
      <c r="K19" s="203">
        <v>807882</v>
      </c>
      <c r="L19" s="205">
        <f t="shared" si="0"/>
        <v>17339893</v>
      </c>
    </row>
    <row r="20" spans="1:13" ht="15" customHeight="1" x14ac:dyDescent="0.3">
      <c r="A20" s="566"/>
      <c r="B20" s="591"/>
      <c r="C20" s="591"/>
      <c r="D20" s="572"/>
      <c r="E20" s="183" t="s">
        <v>160</v>
      </c>
      <c r="F20" s="215">
        <v>0</v>
      </c>
      <c r="G20" s="215">
        <v>0</v>
      </c>
      <c r="H20" s="215">
        <v>0</v>
      </c>
      <c r="I20" s="215">
        <v>0</v>
      </c>
      <c r="J20" s="215">
        <v>0</v>
      </c>
      <c r="K20" s="215"/>
      <c r="L20" s="234">
        <f t="shared" si="0"/>
        <v>0</v>
      </c>
    </row>
    <row r="21" spans="1:13" ht="15" customHeight="1" thickBot="1" x14ac:dyDescent="0.35">
      <c r="A21" s="567"/>
      <c r="B21" s="592"/>
      <c r="C21" s="592"/>
      <c r="D21" s="573"/>
      <c r="E21" s="235" t="s">
        <v>156</v>
      </c>
      <c r="F21" s="200">
        <f t="shared" ref="F21:K21" si="3">SUM(F19:F20)</f>
        <v>0</v>
      </c>
      <c r="G21" s="200">
        <f t="shared" si="3"/>
        <v>14916247</v>
      </c>
      <c r="H21" s="200">
        <f t="shared" si="3"/>
        <v>0</v>
      </c>
      <c r="I21" s="200">
        <f t="shared" si="3"/>
        <v>1615764</v>
      </c>
      <c r="J21" s="200">
        <f t="shared" si="3"/>
        <v>16532011</v>
      </c>
      <c r="K21" s="200">
        <f t="shared" si="3"/>
        <v>807882</v>
      </c>
      <c r="L21" s="201">
        <f t="shared" si="0"/>
        <v>17339893</v>
      </c>
    </row>
    <row r="22" spans="1:13" ht="15" customHeight="1" x14ac:dyDescent="0.3">
      <c r="A22" s="565" t="s">
        <v>108</v>
      </c>
      <c r="B22" s="593" t="s">
        <v>165</v>
      </c>
      <c r="C22" s="593" t="s">
        <v>166</v>
      </c>
      <c r="D22" s="576">
        <v>0.95</v>
      </c>
      <c r="E22" s="202" t="s">
        <v>159</v>
      </c>
      <c r="F22" s="203">
        <v>0</v>
      </c>
      <c r="G22" s="203">
        <v>11717822</v>
      </c>
      <c r="H22" s="203">
        <v>0</v>
      </c>
      <c r="I22" s="203">
        <v>1378567</v>
      </c>
      <c r="J22" s="203">
        <f>SUM(F22:I22)</f>
        <v>13096389</v>
      </c>
      <c r="K22" s="203">
        <v>689284</v>
      </c>
      <c r="L22" s="205">
        <f>J22+K22</f>
        <v>13785673</v>
      </c>
      <c r="M22" s="228"/>
    </row>
    <row r="23" spans="1:13" ht="15" customHeight="1" x14ac:dyDescent="0.3">
      <c r="A23" s="566"/>
      <c r="B23" s="591"/>
      <c r="C23" s="591"/>
      <c r="D23" s="572"/>
      <c r="E23" s="183" t="s">
        <v>160</v>
      </c>
      <c r="F23" s="215">
        <v>0</v>
      </c>
      <c r="G23" s="215">
        <v>0</v>
      </c>
      <c r="H23" s="215">
        <v>0</v>
      </c>
      <c r="I23" s="215">
        <v>0</v>
      </c>
      <c r="J23" s="215">
        <v>0</v>
      </c>
      <c r="K23" s="215">
        <v>0</v>
      </c>
      <c r="L23" s="234">
        <f t="shared" si="0"/>
        <v>0</v>
      </c>
    </row>
    <row r="24" spans="1:13" ht="15" customHeight="1" thickBot="1" x14ac:dyDescent="0.35">
      <c r="A24" s="567"/>
      <c r="B24" s="592"/>
      <c r="C24" s="592"/>
      <c r="D24" s="573"/>
      <c r="E24" s="235" t="s">
        <v>156</v>
      </c>
      <c r="F24" s="200">
        <f t="shared" ref="F24:K24" si="4">SUM(F22:F23)</f>
        <v>0</v>
      </c>
      <c r="G24" s="200">
        <f t="shared" si="4"/>
        <v>11717822</v>
      </c>
      <c r="H24" s="200">
        <f t="shared" si="4"/>
        <v>0</v>
      </c>
      <c r="I24" s="200">
        <f t="shared" si="4"/>
        <v>1378567</v>
      </c>
      <c r="J24" s="200">
        <f t="shared" si="4"/>
        <v>13096389</v>
      </c>
      <c r="K24" s="200">
        <f t="shared" si="4"/>
        <v>689284</v>
      </c>
      <c r="L24" s="201">
        <f t="shared" si="0"/>
        <v>13785673</v>
      </c>
    </row>
    <row r="25" spans="1:13" ht="15" customHeight="1" x14ac:dyDescent="0.3">
      <c r="A25" s="565" t="s">
        <v>110</v>
      </c>
      <c r="B25" s="593" t="s">
        <v>167</v>
      </c>
      <c r="C25" s="593" t="s">
        <v>168</v>
      </c>
      <c r="D25" s="576">
        <v>0.95</v>
      </c>
      <c r="E25" s="202" t="s">
        <v>159</v>
      </c>
      <c r="F25" s="203">
        <v>0</v>
      </c>
      <c r="G25" s="203">
        <f>4826130+2414291+19258108</f>
        <v>26498529</v>
      </c>
      <c r="H25" s="203">
        <v>0</v>
      </c>
      <c r="I25" s="203">
        <v>567780</v>
      </c>
      <c r="J25" s="203">
        <f>SUM(F25:I25)</f>
        <v>27066309</v>
      </c>
      <c r="K25" s="203">
        <v>283890</v>
      </c>
      <c r="L25" s="205">
        <f t="shared" si="0"/>
        <v>27350199</v>
      </c>
    </row>
    <row r="26" spans="1:13" ht="15" customHeight="1" x14ac:dyDescent="0.3">
      <c r="A26" s="566"/>
      <c r="B26" s="591"/>
      <c r="C26" s="591"/>
      <c r="D26" s="572"/>
      <c r="E26" s="183" t="s">
        <v>160</v>
      </c>
      <c r="F26" s="215">
        <v>0</v>
      </c>
      <c r="G26" s="215">
        <v>0</v>
      </c>
      <c r="H26" s="215">
        <v>0</v>
      </c>
      <c r="I26" s="215">
        <v>0</v>
      </c>
      <c r="J26" s="215">
        <v>0</v>
      </c>
      <c r="K26" s="215">
        <v>0</v>
      </c>
      <c r="L26" s="234">
        <f t="shared" si="0"/>
        <v>0</v>
      </c>
    </row>
    <row r="27" spans="1:13" ht="15" customHeight="1" thickBot="1" x14ac:dyDescent="0.35">
      <c r="A27" s="567"/>
      <c r="B27" s="592"/>
      <c r="C27" s="592"/>
      <c r="D27" s="573"/>
      <c r="E27" s="235" t="s">
        <v>156</v>
      </c>
      <c r="F27" s="200">
        <f t="shared" ref="F27:K27" si="5">SUM(F25:F26)</f>
        <v>0</v>
      </c>
      <c r="G27" s="200">
        <f t="shared" si="5"/>
        <v>26498529</v>
      </c>
      <c r="H27" s="200">
        <f t="shared" si="5"/>
        <v>0</v>
      </c>
      <c r="I27" s="200">
        <f t="shared" si="5"/>
        <v>567780</v>
      </c>
      <c r="J27" s="200">
        <f t="shared" si="5"/>
        <v>27066309</v>
      </c>
      <c r="K27" s="200">
        <f t="shared" si="5"/>
        <v>283890</v>
      </c>
      <c r="L27" s="201">
        <f t="shared" si="0"/>
        <v>27350199</v>
      </c>
    </row>
    <row r="28" spans="1:13" s="194" customFormat="1" ht="15" customHeight="1" x14ac:dyDescent="0.3">
      <c r="A28" s="565" t="s">
        <v>111</v>
      </c>
      <c r="B28" s="591" t="s">
        <v>169</v>
      </c>
      <c r="C28" s="591" t="s">
        <v>170</v>
      </c>
      <c r="D28" s="572">
        <v>0.95</v>
      </c>
      <c r="E28" s="195" t="s">
        <v>159</v>
      </c>
      <c r="F28" s="191">
        <v>0</v>
      </c>
      <c r="G28" s="191">
        <f>14088912+511994-2469250</f>
        <v>12131656</v>
      </c>
      <c r="H28" s="191">
        <v>2469250</v>
      </c>
      <c r="I28" s="191">
        <v>1657519</v>
      </c>
      <c r="J28" s="191">
        <f>SUM(F28:I28)</f>
        <v>16258425</v>
      </c>
      <c r="K28" s="191">
        <v>919112</v>
      </c>
      <c r="L28" s="198">
        <f t="shared" si="0"/>
        <v>17177537</v>
      </c>
    </row>
    <row r="29" spans="1:13" ht="15" customHeight="1" x14ac:dyDescent="0.3">
      <c r="A29" s="566"/>
      <c r="B29" s="591"/>
      <c r="C29" s="591"/>
      <c r="D29" s="572"/>
      <c r="E29" s="183" t="s">
        <v>160</v>
      </c>
      <c r="F29" s="215">
        <v>0</v>
      </c>
      <c r="G29" s="215">
        <v>0</v>
      </c>
      <c r="H29" s="215">
        <v>0</v>
      </c>
      <c r="I29" s="215">
        <v>0</v>
      </c>
      <c r="J29" s="215">
        <v>0</v>
      </c>
      <c r="K29" s="215">
        <v>0</v>
      </c>
      <c r="L29" s="234">
        <f t="shared" si="0"/>
        <v>0</v>
      </c>
    </row>
    <row r="30" spans="1:13" ht="15" customHeight="1" thickBot="1" x14ac:dyDescent="0.35">
      <c r="A30" s="567"/>
      <c r="B30" s="592"/>
      <c r="C30" s="592"/>
      <c r="D30" s="573"/>
      <c r="E30" s="235" t="s">
        <v>156</v>
      </c>
      <c r="F30" s="200">
        <f t="shared" ref="F30:K30" si="6">SUM(F28:F29)</f>
        <v>0</v>
      </c>
      <c r="G30" s="200">
        <f t="shared" si="6"/>
        <v>12131656</v>
      </c>
      <c r="H30" s="200">
        <f t="shared" si="6"/>
        <v>2469250</v>
      </c>
      <c r="I30" s="200">
        <f t="shared" si="6"/>
        <v>1657519</v>
      </c>
      <c r="J30" s="200">
        <f t="shared" si="6"/>
        <v>16258425</v>
      </c>
      <c r="K30" s="200">
        <f t="shared" si="6"/>
        <v>919112</v>
      </c>
      <c r="L30" s="201">
        <f t="shared" si="0"/>
        <v>17177537</v>
      </c>
    </row>
    <row r="31" spans="1:13" ht="15" customHeight="1" x14ac:dyDescent="0.3">
      <c r="A31" s="565" t="s">
        <v>113</v>
      </c>
      <c r="B31" s="568" t="s">
        <v>171</v>
      </c>
      <c r="C31" s="591" t="s">
        <v>172</v>
      </c>
      <c r="D31" s="572">
        <v>0.9395</v>
      </c>
      <c r="E31" s="206" t="s">
        <v>159</v>
      </c>
      <c r="F31" s="203">
        <v>0</v>
      </c>
      <c r="G31" s="203">
        <f>1878027+2843869</f>
        <v>4721896</v>
      </c>
      <c r="H31" s="203">
        <v>0</v>
      </c>
      <c r="I31" s="203">
        <v>0</v>
      </c>
      <c r="J31" s="203">
        <f>SUM(F31:I31)</f>
        <v>4721896</v>
      </c>
      <c r="K31" s="203">
        <v>119874</v>
      </c>
      <c r="L31" s="209">
        <f t="shared" si="0"/>
        <v>4841770</v>
      </c>
    </row>
    <row r="32" spans="1:13" ht="15" customHeight="1" x14ac:dyDescent="0.3">
      <c r="A32" s="566"/>
      <c r="B32" s="568"/>
      <c r="C32" s="591"/>
      <c r="D32" s="572"/>
      <c r="E32" s="183" t="s">
        <v>160</v>
      </c>
      <c r="F32" s="215">
        <v>0</v>
      </c>
      <c r="G32" s="215">
        <v>0</v>
      </c>
      <c r="H32" s="215">
        <v>0</v>
      </c>
      <c r="I32" s="215">
        <v>0</v>
      </c>
      <c r="J32" s="215">
        <v>0</v>
      </c>
      <c r="K32" s="215">
        <v>0</v>
      </c>
      <c r="L32" s="234">
        <f t="shared" si="0"/>
        <v>0</v>
      </c>
    </row>
    <row r="33" spans="1:12" ht="15" customHeight="1" thickBot="1" x14ac:dyDescent="0.35">
      <c r="A33" s="567"/>
      <c r="B33" s="569"/>
      <c r="C33" s="592"/>
      <c r="D33" s="573"/>
      <c r="E33" s="235" t="s">
        <v>156</v>
      </c>
      <c r="F33" s="200">
        <f t="shared" ref="F33:K33" si="7">SUM(F31:F32)</f>
        <v>0</v>
      </c>
      <c r="G33" s="200">
        <f t="shared" si="7"/>
        <v>4721896</v>
      </c>
      <c r="H33" s="200">
        <f t="shared" si="7"/>
        <v>0</v>
      </c>
      <c r="I33" s="200">
        <f t="shared" si="7"/>
        <v>0</v>
      </c>
      <c r="J33" s="200">
        <f t="shared" si="7"/>
        <v>4721896</v>
      </c>
      <c r="K33" s="200">
        <f t="shared" si="7"/>
        <v>119874</v>
      </c>
      <c r="L33" s="201">
        <f t="shared" si="0"/>
        <v>4841770</v>
      </c>
    </row>
    <row r="34" spans="1:12" s="194" customFormat="1" ht="15" customHeight="1" x14ac:dyDescent="0.3">
      <c r="A34" s="565" t="s">
        <v>115</v>
      </c>
      <c r="B34" s="584" t="s">
        <v>173</v>
      </c>
      <c r="C34" s="589">
        <v>101035163</v>
      </c>
      <c r="D34" s="572">
        <v>0.60099999999999998</v>
      </c>
      <c r="E34" s="195" t="s">
        <v>159</v>
      </c>
      <c r="F34" s="191">
        <v>0</v>
      </c>
      <c r="G34" s="191">
        <f>11118800-500000</f>
        <v>10618800</v>
      </c>
      <c r="H34" s="191">
        <v>500000</v>
      </c>
      <c r="I34" s="191">
        <v>0</v>
      </c>
      <c r="J34" s="191">
        <f>SUM(F34:I34)</f>
        <v>11118800</v>
      </c>
      <c r="K34" s="191">
        <v>7381933</v>
      </c>
      <c r="L34" s="198">
        <f t="shared" si="0"/>
        <v>18500733</v>
      </c>
    </row>
    <row r="35" spans="1:12" ht="15" customHeight="1" x14ac:dyDescent="0.3">
      <c r="A35" s="566"/>
      <c r="B35" s="584"/>
      <c r="C35" s="589"/>
      <c r="D35" s="572"/>
      <c r="E35" s="183" t="s">
        <v>160</v>
      </c>
      <c r="F35" s="215">
        <v>0</v>
      </c>
      <c r="G35" s="215">
        <v>0</v>
      </c>
      <c r="H35" s="215">
        <v>0</v>
      </c>
      <c r="I35" s="215">
        <v>0</v>
      </c>
      <c r="J35" s="215">
        <v>0</v>
      </c>
      <c r="K35" s="215">
        <v>0</v>
      </c>
      <c r="L35" s="234">
        <f t="shared" si="0"/>
        <v>0</v>
      </c>
    </row>
    <row r="36" spans="1:12" ht="15" customHeight="1" thickBot="1" x14ac:dyDescent="0.35">
      <c r="A36" s="567"/>
      <c r="B36" s="585"/>
      <c r="C36" s="590"/>
      <c r="D36" s="573"/>
      <c r="E36" s="235" t="s">
        <v>156</v>
      </c>
      <c r="F36" s="200">
        <f t="shared" ref="F36:K36" si="8">SUM(F34:F35)</f>
        <v>0</v>
      </c>
      <c r="G36" s="200">
        <f t="shared" si="8"/>
        <v>10618800</v>
      </c>
      <c r="H36" s="200">
        <f t="shared" si="8"/>
        <v>500000</v>
      </c>
      <c r="I36" s="200">
        <f t="shared" si="8"/>
        <v>0</v>
      </c>
      <c r="J36" s="200">
        <f t="shared" si="8"/>
        <v>11118800</v>
      </c>
      <c r="K36" s="200">
        <f t="shared" si="8"/>
        <v>7381933</v>
      </c>
      <c r="L36" s="201">
        <f t="shared" si="0"/>
        <v>18500733</v>
      </c>
    </row>
    <row r="37" spans="1:12" s="194" customFormat="1" ht="15" customHeight="1" x14ac:dyDescent="0.3">
      <c r="A37" s="565" t="s">
        <v>117</v>
      </c>
      <c r="B37" s="584" t="str">
        <f>'4.'!B21</f>
        <v>SOCRATES</v>
      </c>
      <c r="C37" s="589">
        <f>'4.'!C21</f>
        <v>101074095</v>
      </c>
      <c r="D37" s="572">
        <v>0.9</v>
      </c>
      <c r="E37" s="195" t="s">
        <v>159</v>
      </c>
      <c r="F37" s="191">
        <v>0</v>
      </c>
      <c r="G37" s="191">
        <f>6654762+4242582</f>
        <v>10897344</v>
      </c>
      <c r="H37" s="191">
        <v>0</v>
      </c>
      <c r="I37" s="191">
        <v>0</v>
      </c>
      <c r="J37" s="191">
        <f>SUM(F37:I37)</f>
        <v>10897344</v>
      </c>
      <c r="K37" s="191">
        <v>739418</v>
      </c>
      <c r="L37" s="198">
        <f t="shared" si="0"/>
        <v>11636762</v>
      </c>
    </row>
    <row r="38" spans="1:12" ht="15" customHeight="1" x14ac:dyDescent="0.3">
      <c r="A38" s="566"/>
      <c r="B38" s="584"/>
      <c r="C38" s="589"/>
      <c r="D38" s="572"/>
      <c r="E38" s="183" t="s">
        <v>160</v>
      </c>
      <c r="F38" s="215">
        <v>0</v>
      </c>
      <c r="G38" s="215">
        <v>0</v>
      </c>
      <c r="H38" s="215">
        <v>0</v>
      </c>
      <c r="I38" s="215">
        <v>0</v>
      </c>
      <c r="J38" s="215">
        <v>0</v>
      </c>
      <c r="K38" s="215">
        <v>0</v>
      </c>
      <c r="L38" s="234">
        <f t="shared" si="0"/>
        <v>0</v>
      </c>
    </row>
    <row r="39" spans="1:12" ht="15" customHeight="1" thickBot="1" x14ac:dyDescent="0.35">
      <c r="A39" s="567"/>
      <c r="B39" s="585"/>
      <c r="C39" s="590"/>
      <c r="D39" s="573"/>
      <c r="E39" s="235" t="s">
        <v>156</v>
      </c>
      <c r="F39" s="200">
        <f t="shared" ref="F39:K39" si="9">SUM(F37:F38)</f>
        <v>0</v>
      </c>
      <c r="G39" s="200">
        <f t="shared" si="9"/>
        <v>10897344</v>
      </c>
      <c r="H39" s="200">
        <f t="shared" si="9"/>
        <v>0</v>
      </c>
      <c r="I39" s="200">
        <f t="shared" si="9"/>
        <v>0</v>
      </c>
      <c r="J39" s="200">
        <f t="shared" si="9"/>
        <v>10897344</v>
      </c>
      <c r="K39" s="200">
        <f t="shared" si="9"/>
        <v>739418</v>
      </c>
      <c r="L39" s="201">
        <f t="shared" si="0"/>
        <v>11636762</v>
      </c>
    </row>
    <row r="40" spans="1:12" ht="15" customHeight="1" x14ac:dyDescent="0.3">
      <c r="A40" s="565" t="s">
        <v>118</v>
      </c>
      <c r="B40" s="574" t="s">
        <v>174</v>
      </c>
      <c r="C40" s="580" t="s">
        <v>175</v>
      </c>
      <c r="D40" s="576">
        <v>1</v>
      </c>
      <c r="E40" s="202" t="s">
        <v>159</v>
      </c>
      <c r="F40" s="203">
        <f>2413535+1508205</f>
        <v>3921740</v>
      </c>
      <c r="G40" s="203">
        <v>0</v>
      </c>
      <c r="H40" s="203">
        <v>0</v>
      </c>
      <c r="I40" s="203">
        <v>0</v>
      </c>
      <c r="J40" s="203">
        <f>SUM(F40:I40)</f>
        <v>3921740</v>
      </c>
      <c r="K40" s="203">
        <v>0</v>
      </c>
      <c r="L40" s="205">
        <f t="shared" si="0"/>
        <v>3921740</v>
      </c>
    </row>
    <row r="41" spans="1:12" ht="15" customHeight="1" x14ac:dyDescent="0.3">
      <c r="A41" s="566"/>
      <c r="B41" s="568"/>
      <c r="C41" s="581"/>
      <c r="D41" s="572"/>
      <c r="E41" s="183" t="s">
        <v>160</v>
      </c>
      <c r="F41" s="215">
        <f>3939167+2644270+33900000</f>
        <v>40483437</v>
      </c>
      <c r="G41" s="215">
        <v>0</v>
      </c>
      <c r="H41" s="215">
        <v>0</v>
      </c>
      <c r="I41" s="215">
        <v>0</v>
      </c>
      <c r="J41" s="212">
        <f>SUM(F41:I41)</f>
        <v>40483437</v>
      </c>
      <c r="K41" s="215">
        <v>0</v>
      </c>
      <c r="L41" s="234">
        <f t="shared" si="0"/>
        <v>40483437</v>
      </c>
    </row>
    <row r="42" spans="1:12" ht="15" customHeight="1" thickBot="1" x14ac:dyDescent="0.35">
      <c r="A42" s="567"/>
      <c r="B42" s="569"/>
      <c r="C42" s="582"/>
      <c r="D42" s="573"/>
      <c r="E42" s="235" t="s">
        <v>156</v>
      </c>
      <c r="F42" s="200">
        <f t="shared" ref="F42:K42" si="10">SUM(F40:F41)</f>
        <v>44405177</v>
      </c>
      <c r="G42" s="200">
        <f t="shared" si="10"/>
        <v>0</v>
      </c>
      <c r="H42" s="200">
        <f t="shared" si="10"/>
        <v>0</v>
      </c>
      <c r="I42" s="200">
        <f t="shared" si="10"/>
        <v>0</v>
      </c>
      <c r="J42" s="200">
        <f t="shared" si="10"/>
        <v>44405177</v>
      </c>
      <c r="K42" s="200">
        <f t="shared" si="10"/>
        <v>0</v>
      </c>
      <c r="L42" s="201">
        <f t="shared" si="0"/>
        <v>44405177</v>
      </c>
    </row>
    <row r="43" spans="1:12" ht="15" customHeight="1" x14ac:dyDescent="0.3">
      <c r="A43" s="565" t="s">
        <v>120</v>
      </c>
      <c r="B43" s="574" t="s">
        <v>176</v>
      </c>
      <c r="C43" s="575" t="s">
        <v>177</v>
      </c>
      <c r="D43" s="576">
        <v>1</v>
      </c>
      <c r="E43" s="206" t="s">
        <v>159</v>
      </c>
      <c r="F43" s="203">
        <v>0</v>
      </c>
      <c r="G43" s="203">
        <v>0</v>
      </c>
      <c r="H43" s="203">
        <v>0</v>
      </c>
      <c r="I43" s="203">
        <v>170533037</v>
      </c>
      <c r="J43" s="203">
        <f>SUM(F43:I43)</f>
        <v>170533037</v>
      </c>
      <c r="K43" s="203">
        <v>0</v>
      </c>
      <c r="L43" s="209">
        <f t="shared" si="0"/>
        <v>170533037</v>
      </c>
    </row>
    <row r="44" spans="1:12" ht="15" customHeight="1" x14ac:dyDescent="0.3">
      <c r="A44" s="566"/>
      <c r="B44" s="568"/>
      <c r="C44" s="570"/>
      <c r="D44" s="572"/>
      <c r="E44" s="183" t="s">
        <v>160</v>
      </c>
      <c r="F44" s="215">
        <v>0</v>
      </c>
      <c r="G44" s="215">
        <v>0</v>
      </c>
      <c r="H44" s="215">
        <v>0</v>
      </c>
      <c r="I44" s="215">
        <v>0</v>
      </c>
      <c r="J44" s="215">
        <v>0</v>
      </c>
      <c r="K44" s="215">
        <v>0</v>
      </c>
      <c r="L44" s="234">
        <f t="shared" si="0"/>
        <v>0</v>
      </c>
    </row>
    <row r="45" spans="1:12" ht="15" customHeight="1" thickBot="1" x14ac:dyDescent="0.35">
      <c r="A45" s="567"/>
      <c r="B45" s="569"/>
      <c r="C45" s="571"/>
      <c r="D45" s="573"/>
      <c r="E45" s="235" t="s">
        <v>156</v>
      </c>
      <c r="F45" s="200">
        <f t="shared" ref="F45:K45" si="11">SUM(F43:F44)</f>
        <v>0</v>
      </c>
      <c r="G45" s="200">
        <f t="shared" si="11"/>
        <v>0</v>
      </c>
      <c r="H45" s="200">
        <f t="shared" si="11"/>
        <v>0</v>
      </c>
      <c r="I45" s="200">
        <f t="shared" si="11"/>
        <v>170533037</v>
      </c>
      <c r="J45" s="200">
        <f t="shared" si="11"/>
        <v>170533037</v>
      </c>
      <c r="K45" s="200">
        <f t="shared" si="11"/>
        <v>0</v>
      </c>
      <c r="L45" s="201">
        <f t="shared" si="0"/>
        <v>170533037</v>
      </c>
    </row>
    <row r="46" spans="1:12" ht="15" customHeight="1" x14ac:dyDescent="0.3">
      <c r="A46" s="565" t="s">
        <v>122</v>
      </c>
      <c r="B46" s="577" t="s">
        <v>178</v>
      </c>
      <c r="C46" s="580" t="s">
        <v>179</v>
      </c>
      <c r="D46" s="576">
        <v>1</v>
      </c>
      <c r="E46" s="202" t="s">
        <v>159</v>
      </c>
      <c r="F46" s="203">
        <v>370719560</v>
      </c>
      <c r="G46" s="203">
        <v>0</v>
      </c>
      <c r="H46" s="203">
        <v>0</v>
      </c>
      <c r="I46" s="203">
        <v>304217826</v>
      </c>
      <c r="J46" s="203">
        <f>SUM(F46:I46)</f>
        <v>674937386</v>
      </c>
      <c r="K46" s="203">
        <v>0</v>
      </c>
      <c r="L46" s="205">
        <f t="shared" si="0"/>
        <v>674937386</v>
      </c>
    </row>
    <row r="47" spans="1:12" ht="15" customHeight="1" x14ac:dyDescent="0.3">
      <c r="A47" s="566"/>
      <c r="B47" s="578"/>
      <c r="C47" s="581"/>
      <c r="D47" s="572"/>
      <c r="E47" s="183" t="s">
        <v>160</v>
      </c>
      <c r="F47" s="215">
        <v>0</v>
      </c>
      <c r="G47" s="215">
        <v>0</v>
      </c>
      <c r="H47" s="215">
        <v>0</v>
      </c>
      <c r="I47" s="215">
        <v>0</v>
      </c>
      <c r="J47" s="215">
        <v>0</v>
      </c>
      <c r="K47" s="215">
        <v>0</v>
      </c>
      <c r="L47" s="234">
        <f t="shared" si="0"/>
        <v>0</v>
      </c>
    </row>
    <row r="48" spans="1:12" ht="15" customHeight="1" thickBot="1" x14ac:dyDescent="0.35">
      <c r="A48" s="567"/>
      <c r="B48" s="579"/>
      <c r="C48" s="582"/>
      <c r="D48" s="573"/>
      <c r="E48" s="235" t="s">
        <v>156</v>
      </c>
      <c r="F48" s="200">
        <f t="shared" ref="F48:K48" si="12">SUM(F46:F47)</f>
        <v>370719560</v>
      </c>
      <c r="G48" s="200">
        <f t="shared" si="12"/>
        <v>0</v>
      </c>
      <c r="H48" s="200">
        <f t="shared" si="12"/>
        <v>0</v>
      </c>
      <c r="I48" s="200">
        <f t="shared" si="12"/>
        <v>304217826</v>
      </c>
      <c r="J48" s="200">
        <f t="shared" si="12"/>
        <v>674937386</v>
      </c>
      <c r="K48" s="200">
        <f t="shared" si="12"/>
        <v>0</v>
      </c>
      <c r="L48" s="201">
        <f t="shared" si="0"/>
        <v>674937386</v>
      </c>
    </row>
    <row r="49" spans="1:12" ht="15" customHeight="1" x14ac:dyDescent="0.3">
      <c r="A49" s="565" t="s">
        <v>123</v>
      </c>
      <c r="B49" s="577" t="s">
        <v>180</v>
      </c>
      <c r="C49" s="580" t="s">
        <v>181</v>
      </c>
      <c r="D49" s="576">
        <v>1</v>
      </c>
      <c r="E49" s="202" t="s">
        <v>159</v>
      </c>
      <c r="F49" s="203">
        <v>6232150</v>
      </c>
      <c r="G49" s="203">
        <v>0</v>
      </c>
      <c r="H49" s="203">
        <v>0</v>
      </c>
      <c r="I49" s="203">
        <v>48119772</v>
      </c>
      <c r="J49" s="203">
        <f>SUM(F49:I49)</f>
        <v>54351922</v>
      </c>
      <c r="K49" s="203">
        <v>0</v>
      </c>
      <c r="L49" s="205">
        <f t="shared" si="0"/>
        <v>54351922</v>
      </c>
    </row>
    <row r="50" spans="1:12" ht="15" customHeight="1" x14ac:dyDescent="0.3">
      <c r="A50" s="566"/>
      <c r="B50" s="578"/>
      <c r="C50" s="581"/>
      <c r="D50" s="572"/>
      <c r="E50" s="183" t="s">
        <v>160</v>
      </c>
      <c r="F50" s="215">
        <v>0</v>
      </c>
      <c r="G50" s="215">
        <v>0</v>
      </c>
      <c r="H50" s="215">
        <v>0</v>
      </c>
      <c r="I50" s="215">
        <v>0</v>
      </c>
      <c r="J50" s="215">
        <v>0</v>
      </c>
      <c r="K50" s="215">
        <v>0</v>
      </c>
      <c r="L50" s="234">
        <f t="shared" si="0"/>
        <v>0</v>
      </c>
    </row>
    <row r="51" spans="1:12" ht="15" customHeight="1" thickBot="1" x14ac:dyDescent="0.35">
      <c r="A51" s="567"/>
      <c r="B51" s="579"/>
      <c r="C51" s="582"/>
      <c r="D51" s="573"/>
      <c r="E51" s="235" t="s">
        <v>156</v>
      </c>
      <c r="F51" s="200">
        <f t="shared" ref="F51:K51" si="13">SUM(F49:F50)</f>
        <v>6232150</v>
      </c>
      <c r="G51" s="200">
        <f t="shared" si="13"/>
        <v>0</v>
      </c>
      <c r="H51" s="200">
        <f t="shared" si="13"/>
        <v>0</v>
      </c>
      <c r="I51" s="200">
        <f t="shared" si="13"/>
        <v>48119772</v>
      </c>
      <c r="J51" s="200">
        <f t="shared" si="13"/>
        <v>54351922</v>
      </c>
      <c r="K51" s="200">
        <f t="shared" si="13"/>
        <v>0</v>
      </c>
      <c r="L51" s="201">
        <f t="shared" si="0"/>
        <v>54351922</v>
      </c>
    </row>
    <row r="52" spans="1:12" ht="15" customHeight="1" x14ac:dyDescent="0.3">
      <c r="A52" s="565" t="s">
        <v>124</v>
      </c>
      <c r="B52" s="583" t="str">
        <f>'4.'!B26</f>
        <v>Foglalkoztatási Paktum Plusz</v>
      </c>
      <c r="C52" s="586" t="str">
        <f>'4.'!C26</f>
        <v>TOP_PLUSZ-3.1.1-21-HB1-2022-00001</v>
      </c>
      <c r="D52" s="576">
        <v>1</v>
      </c>
      <c r="E52" s="202" t="s">
        <v>159</v>
      </c>
      <c r="F52" s="203">
        <f>106831282+27483222</f>
        <v>134314504</v>
      </c>
      <c r="G52" s="203">
        <v>0</v>
      </c>
      <c r="H52" s="203">
        <f>27483222-27483222</f>
        <v>0</v>
      </c>
      <c r="I52" s="203">
        <v>0</v>
      </c>
      <c r="J52" s="203">
        <f>SUM(F52:I52)</f>
        <v>134314504</v>
      </c>
      <c r="K52" s="203">
        <v>0</v>
      </c>
      <c r="L52" s="205">
        <f t="shared" si="0"/>
        <v>134314504</v>
      </c>
    </row>
    <row r="53" spans="1:12" ht="15" customHeight="1" x14ac:dyDescent="0.3">
      <c r="A53" s="566"/>
      <c r="B53" s="584"/>
      <c r="C53" s="587"/>
      <c r="D53" s="572"/>
      <c r="E53" s="183" t="s">
        <v>160</v>
      </c>
      <c r="F53" s="215">
        <v>0</v>
      </c>
      <c r="G53" s="215">
        <v>0</v>
      </c>
      <c r="H53" s="215">
        <v>0</v>
      </c>
      <c r="I53" s="215">
        <v>0</v>
      </c>
      <c r="J53" s="212">
        <f>SUM(F53:I53)</f>
        <v>0</v>
      </c>
      <c r="K53" s="215">
        <v>0</v>
      </c>
      <c r="L53" s="234">
        <f t="shared" si="0"/>
        <v>0</v>
      </c>
    </row>
    <row r="54" spans="1:12" ht="15" customHeight="1" thickBot="1" x14ac:dyDescent="0.35">
      <c r="A54" s="567"/>
      <c r="B54" s="585"/>
      <c r="C54" s="588"/>
      <c r="D54" s="573"/>
      <c r="E54" s="235" t="s">
        <v>156</v>
      </c>
      <c r="F54" s="200">
        <f t="shared" ref="F54:K54" si="14">SUM(F52:F53)</f>
        <v>134314504</v>
      </c>
      <c r="G54" s="200">
        <f t="shared" si="14"/>
        <v>0</v>
      </c>
      <c r="H54" s="200">
        <f t="shared" si="14"/>
        <v>0</v>
      </c>
      <c r="I54" s="200">
        <f t="shared" si="14"/>
        <v>0</v>
      </c>
      <c r="J54" s="200">
        <f t="shared" si="14"/>
        <v>134314504</v>
      </c>
      <c r="K54" s="200">
        <f t="shared" si="14"/>
        <v>0</v>
      </c>
      <c r="L54" s="201">
        <f t="shared" si="0"/>
        <v>134314504</v>
      </c>
    </row>
    <row r="55" spans="1:12" ht="15" customHeight="1" x14ac:dyDescent="0.3">
      <c r="A55" s="565" t="s">
        <v>126</v>
      </c>
      <c r="B55" s="583" t="str">
        <f>'4.'!B27</f>
        <v>Együtt, közösségben Hajdú-Biharban</v>
      </c>
      <c r="C55" s="586" t="str">
        <f>'4.'!C27</f>
        <v>TOP-5.3.2-17-HB1-2021-00002</v>
      </c>
      <c r="D55" s="576">
        <v>1</v>
      </c>
      <c r="E55" s="202" t="s">
        <v>159</v>
      </c>
      <c r="F55" s="203">
        <v>90000000</v>
      </c>
      <c r="G55" s="203">
        <v>0</v>
      </c>
      <c r="H55" s="203">
        <v>10000000</v>
      </c>
      <c r="I55" s="203">
        <v>0</v>
      </c>
      <c r="J55" s="203">
        <f>SUM(F55:I55)</f>
        <v>100000000</v>
      </c>
      <c r="K55" s="203">
        <v>0</v>
      </c>
      <c r="L55" s="205">
        <f t="shared" si="0"/>
        <v>100000000</v>
      </c>
    </row>
    <row r="56" spans="1:12" ht="15" customHeight="1" x14ac:dyDescent="0.3">
      <c r="A56" s="566"/>
      <c r="B56" s="584"/>
      <c r="C56" s="587"/>
      <c r="D56" s="572"/>
      <c r="E56" s="183" t="s">
        <v>160</v>
      </c>
      <c r="F56" s="215">
        <v>0</v>
      </c>
      <c r="G56" s="215">
        <v>0</v>
      </c>
      <c r="H56" s="215">
        <v>0</v>
      </c>
      <c r="I56" s="215">
        <v>0</v>
      </c>
      <c r="J56" s="212">
        <f>SUM(F56:I56)</f>
        <v>0</v>
      </c>
      <c r="K56" s="215">
        <v>0</v>
      </c>
      <c r="L56" s="234">
        <f t="shared" si="0"/>
        <v>0</v>
      </c>
    </row>
    <row r="57" spans="1:12" ht="15" customHeight="1" thickBot="1" x14ac:dyDescent="0.35">
      <c r="A57" s="567"/>
      <c r="B57" s="585"/>
      <c r="C57" s="588"/>
      <c r="D57" s="573"/>
      <c r="E57" s="235" t="s">
        <v>156</v>
      </c>
      <c r="F57" s="200">
        <f t="shared" ref="F57:K57" si="15">SUM(F55:F56)</f>
        <v>90000000</v>
      </c>
      <c r="G57" s="200">
        <f t="shared" si="15"/>
        <v>0</v>
      </c>
      <c r="H57" s="200">
        <f t="shared" si="15"/>
        <v>10000000</v>
      </c>
      <c r="I57" s="200">
        <f t="shared" si="15"/>
        <v>0</v>
      </c>
      <c r="J57" s="200">
        <f t="shared" si="15"/>
        <v>100000000</v>
      </c>
      <c r="K57" s="200">
        <f t="shared" si="15"/>
        <v>0</v>
      </c>
      <c r="L57" s="201">
        <f t="shared" si="0"/>
        <v>100000000</v>
      </c>
    </row>
    <row r="58" spans="1:12" ht="15" customHeight="1" x14ac:dyDescent="0.3">
      <c r="A58" s="565" t="s">
        <v>128</v>
      </c>
      <c r="B58" s="574" t="s">
        <v>182</v>
      </c>
      <c r="C58" s="580" t="s">
        <v>183</v>
      </c>
      <c r="D58" s="576">
        <v>1</v>
      </c>
      <c r="E58" s="206" t="s">
        <v>159</v>
      </c>
      <c r="F58" s="203">
        <f>30621+642383</f>
        <v>673004</v>
      </c>
      <c r="G58" s="203">
        <v>0</v>
      </c>
      <c r="H58" s="203">
        <v>0</v>
      </c>
      <c r="I58" s="203">
        <v>0</v>
      </c>
      <c r="J58" s="203">
        <f>SUM(F58:I58)</f>
        <v>673004</v>
      </c>
      <c r="K58" s="203">
        <v>0</v>
      </c>
      <c r="L58" s="209">
        <f t="shared" si="0"/>
        <v>673004</v>
      </c>
    </row>
    <row r="59" spans="1:12" ht="15" customHeight="1" x14ac:dyDescent="0.3">
      <c r="A59" s="566"/>
      <c r="B59" s="568"/>
      <c r="C59" s="581"/>
      <c r="D59" s="572"/>
      <c r="E59" s="183" t="s">
        <v>160</v>
      </c>
      <c r="F59" s="215">
        <v>0</v>
      </c>
      <c r="G59" s="215">
        <v>0</v>
      </c>
      <c r="H59" s="215">
        <v>0</v>
      </c>
      <c r="I59" s="215">
        <v>0</v>
      </c>
      <c r="J59" s="215">
        <v>0</v>
      </c>
      <c r="K59" s="215">
        <v>0</v>
      </c>
      <c r="L59" s="234">
        <f t="shared" si="0"/>
        <v>0</v>
      </c>
    </row>
    <row r="60" spans="1:12" ht="15" customHeight="1" thickBot="1" x14ac:dyDescent="0.35">
      <c r="A60" s="567"/>
      <c r="B60" s="569"/>
      <c r="C60" s="582"/>
      <c r="D60" s="573"/>
      <c r="E60" s="235" t="s">
        <v>156</v>
      </c>
      <c r="F60" s="200">
        <f t="shared" ref="F60:K60" si="16">SUM(F58:F59)</f>
        <v>673004</v>
      </c>
      <c r="G60" s="200">
        <f t="shared" si="16"/>
        <v>0</v>
      </c>
      <c r="H60" s="200">
        <f t="shared" si="16"/>
        <v>0</v>
      </c>
      <c r="I60" s="200">
        <f t="shared" si="16"/>
        <v>0</v>
      </c>
      <c r="J60" s="200">
        <f t="shared" si="16"/>
        <v>673004</v>
      </c>
      <c r="K60" s="200">
        <f t="shared" si="16"/>
        <v>0</v>
      </c>
      <c r="L60" s="201">
        <f t="shared" si="0"/>
        <v>673004</v>
      </c>
    </row>
    <row r="61" spans="1:12" ht="15" customHeight="1" x14ac:dyDescent="0.3">
      <c r="A61" s="565" t="s">
        <v>135</v>
      </c>
      <c r="B61" s="574" t="s">
        <v>184</v>
      </c>
      <c r="C61" s="580" t="s">
        <v>185</v>
      </c>
      <c r="D61" s="576">
        <v>1</v>
      </c>
      <c r="E61" s="206" t="s">
        <v>159</v>
      </c>
      <c r="F61" s="203">
        <f>122000+1470724</f>
        <v>1592724</v>
      </c>
      <c r="G61" s="203">
        <v>0</v>
      </c>
      <c r="H61" s="203">
        <v>0</v>
      </c>
      <c r="I61" s="203">
        <v>0</v>
      </c>
      <c r="J61" s="203">
        <f>SUM(F61:I61)</f>
        <v>1592724</v>
      </c>
      <c r="K61" s="203">
        <v>0</v>
      </c>
      <c r="L61" s="209">
        <f t="shared" si="0"/>
        <v>1592724</v>
      </c>
    </row>
    <row r="62" spans="1:12" ht="15" customHeight="1" x14ac:dyDescent="0.3">
      <c r="A62" s="566"/>
      <c r="B62" s="568"/>
      <c r="C62" s="581"/>
      <c r="D62" s="572"/>
      <c r="E62" s="183" t="s">
        <v>160</v>
      </c>
      <c r="F62" s="215">
        <v>0</v>
      </c>
      <c r="G62" s="215">
        <v>0</v>
      </c>
      <c r="H62" s="215">
        <v>0</v>
      </c>
      <c r="I62" s="215">
        <v>0</v>
      </c>
      <c r="J62" s="215">
        <v>0</v>
      </c>
      <c r="K62" s="215">
        <v>0</v>
      </c>
      <c r="L62" s="234">
        <f t="shared" si="0"/>
        <v>0</v>
      </c>
    </row>
    <row r="63" spans="1:12" ht="15" customHeight="1" thickBot="1" x14ac:dyDescent="0.35">
      <c r="A63" s="567"/>
      <c r="B63" s="569"/>
      <c r="C63" s="582"/>
      <c r="D63" s="573"/>
      <c r="E63" s="235" t="s">
        <v>156</v>
      </c>
      <c r="F63" s="200">
        <f t="shared" ref="F63:K63" si="17">SUM(F61:F62)</f>
        <v>1592724</v>
      </c>
      <c r="G63" s="200">
        <f t="shared" si="17"/>
        <v>0</v>
      </c>
      <c r="H63" s="200">
        <f t="shared" si="17"/>
        <v>0</v>
      </c>
      <c r="I63" s="200">
        <f t="shared" si="17"/>
        <v>0</v>
      </c>
      <c r="J63" s="200">
        <f t="shared" si="17"/>
        <v>1592724</v>
      </c>
      <c r="K63" s="200">
        <f t="shared" si="17"/>
        <v>0</v>
      </c>
      <c r="L63" s="201">
        <f t="shared" si="0"/>
        <v>1592724</v>
      </c>
    </row>
    <row r="64" spans="1:12" ht="15" customHeight="1" x14ac:dyDescent="0.3">
      <c r="A64" s="565" t="s">
        <v>136</v>
      </c>
      <c r="B64" s="574" t="s">
        <v>186</v>
      </c>
      <c r="C64" s="575" t="s">
        <v>187</v>
      </c>
      <c r="D64" s="576">
        <v>1</v>
      </c>
      <c r="E64" s="202" t="s">
        <v>159</v>
      </c>
      <c r="F64" s="203">
        <v>4838032</v>
      </c>
      <c r="G64" s="203">
        <v>0</v>
      </c>
      <c r="H64" s="203">
        <v>0</v>
      </c>
      <c r="I64" s="203">
        <v>2660891</v>
      </c>
      <c r="J64" s="203">
        <f>SUM(F64:I64)</f>
        <v>7498923</v>
      </c>
      <c r="K64" s="203">
        <v>0</v>
      </c>
      <c r="L64" s="205">
        <f t="shared" si="0"/>
        <v>7498923</v>
      </c>
    </row>
    <row r="65" spans="1:12" ht="15" customHeight="1" x14ac:dyDescent="0.3">
      <c r="A65" s="566"/>
      <c r="B65" s="568"/>
      <c r="C65" s="570"/>
      <c r="D65" s="572"/>
      <c r="E65" s="183" t="s">
        <v>160</v>
      </c>
      <c r="F65" s="215">
        <v>0</v>
      </c>
      <c r="G65" s="215">
        <v>0</v>
      </c>
      <c r="H65" s="215">
        <v>0</v>
      </c>
      <c r="I65" s="215">
        <v>0</v>
      </c>
      <c r="J65" s="215">
        <v>0</v>
      </c>
      <c r="K65" s="215">
        <v>0</v>
      </c>
      <c r="L65" s="234">
        <f t="shared" si="0"/>
        <v>0</v>
      </c>
    </row>
    <row r="66" spans="1:12" ht="15" customHeight="1" thickBot="1" x14ac:dyDescent="0.35">
      <c r="A66" s="567"/>
      <c r="B66" s="568"/>
      <c r="C66" s="570"/>
      <c r="D66" s="572"/>
      <c r="E66" s="235" t="s">
        <v>156</v>
      </c>
      <c r="F66" s="200">
        <f t="shared" ref="F66:K66" si="18">SUM(F64:F65)</f>
        <v>4838032</v>
      </c>
      <c r="G66" s="200">
        <f t="shared" si="18"/>
        <v>0</v>
      </c>
      <c r="H66" s="200">
        <f t="shared" si="18"/>
        <v>0</v>
      </c>
      <c r="I66" s="200">
        <f t="shared" si="18"/>
        <v>2660891</v>
      </c>
      <c r="J66" s="200">
        <f t="shared" si="18"/>
        <v>7498923</v>
      </c>
      <c r="K66" s="200">
        <f t="shared" si="18"/>
        <v>0</v>
      </c>
      <c r="L66" s="201">
        <f t="shared" si="0"/>
        <v>7498923</v>
      </c>
    </row>
    <row r="67" spans="1:12" ht="15" customHeight="1" x14ac:dyDescent="0.3">
      <c r="A67" s="565" t="s">
        <v>137</v>
      </c>
      <c r="B67" s="577" t="s">
        <v>188</v>
      </c>
      <c r="C67" s="575" t="s">
        <v>189</v>
      </c>
      <c r="D67" s="576">
        <v>1</v>
      </c>
      <c r="E67" s="206" t="s">
        <v>159</v>
      </c>
      <c r="F67" s="203">
        <v>13883500</v>
      </c>
      <c r="G67" s="203">
        <v>0</v>
      </c>
      <c r="H67" s="203">
        <v>0</v>
      </c>
      <c r="I67" s="203">
        <v>1989777</v>
      </c>
      <c r="J67" s="203">
        <f>SUM(F67:I67)</f>
        <v>15873277</v>
      </c>
      <c r="K67" s="203">
        <v>0</v>
      </c>
      <c r="L67" s="209">
        <f t="shared" si="0"/>
        <v>15873277</v>
      </c>
    </row>
    <row r="68" spans="1:12" ht="15" customHeight="1" x14ac:dyDescent="0.3">
      <c r="A68" s="566"/>
      <c r="B68" s="578"/>
      <c r="C68" s="570"/>
      <c r="D68" s="572"/>
      <c r="E68" s="183" t="s">
        <v>160</v>
      </c>
      <c r="F68" s="215">
        <v>0</v>
      </c>
      <c r="G68" s="215">
        <v>0</v>
      </c>
      <c r="H68" s="215">
        <v>0</v>
      </c>
      <c r="I68" s="215">
        <v>0</v>
      </c>
      <c r="J68" s="215">
        <v>0</v>
      </c>
      <c r="K68" s="215">
        <v>0</v>
      </c>
      <c r="L68" s="234">
        <f t="shared" si="0"/>
        <v>0</v>
      </c>
    </row>
    <row r="69" spans="1:12" ht="15" customHeight="1" thickBot="1" x14ac:dyDescent="0.35">
      <c r="A69" s="567"/>
      <c r="B69" s="579"/>
      <c r="C69" s="571"/>
      <c r="D69" s="573"/>
      <c r="E69" s="235" t="s">
        <v>156</v>
      </c>
      <c r="F69" s="200">
        <f t="shared" ref="F69:K69" si="19">SUM(F67:F68)</f>
        <v>13883500</v>
      </c>
      <c r="G69" s="200">
        <f t="shared" si="19"/>
        <v>0</v>
      </c>
      <c r="H69" s="200">
        <f t="shared" si="19"/>
        <v>0</v>
      </c>
      <c r="I69" s="200">
        <f t="shared" si="19"/>
        <v>1989777</v>
      </c>
      <c r="J69" s="200">
        <f t="shared" si="19"/>
        <v>15873277</v>
      </c>
      <c r="K69" s="200">
        <f t="shared" si="19"/>
        <v>0</v>
      </c>
      <c r="L69" s="201">
        <f t="shared" si="0"/>
        <v>15873277</v>
      </c>
    </row>
    <row r="70" spans="1:12" ht="15" customHeight="1" x14ac:dyDescent="0.3">
      <c r="A70" s="565" t="s">
        <v>138</v>
      </c>
      <c r="B70" s="574" t="s">
        <v>190</v>
      </c>
      <c r="C70" s="575" t="s">
        <v>191</v>
      </c>
      <c r="D70" s="576">
        <v>1</v>
      </c>
      <c r="E70" s="202" t="s">
        <v>159</v>
      </c>
      <c r="F70" s="203">
        <v>20534778</v>
      </c>
      <c r="G70" s="203">
        <v>0</v>
      </c>
      <c r="H70" s="203">
        <v>0</v>
      </c>
      <c r="I70" s="203">
        <v>9431011</v>
      </c>
      <c r="J70" s="203">
        <f>SUM(F70:I70)</f>
        <v>29965789</v>
      </c>
      <c r="K70" s="203">
        <v>0</v>
      </c>
      <c r="L70" s="205">
        <f t="shared" si="0"/>
        <v>29965789</v>
      </c>
    </row>
    <row r="71" spans="1:12" ht="15" customHeight="1" x14ac:dyDescent="0.3">
      <c r="A71" s="566"/>
      <c r="B71" s="568"/>
      <c r="C71" s="570"/>
      <c r="D71" s="572"/>
      <c r="E71" s="183" t="s">
        <v>160</v>
      </c>
      <c r="F71" s="215">
        <v>0</v>
      </c>
      <c r="G71" s="215">
        <v>0</v>
      </c>
      <c r="H71" s="215">
        <v>0</v>
      </c>
      <c r="I71" s="215">
        <v>0</v>
      </c>
      <c r="J71" s="215">
        <v>0</v>
      </c>
      <c r="K71" s="215">
        <v>0</v>
      </c>
      <c r="L71" s="234">
        <f t="shared" si="0"/>
        <v>0</v>
      </c>
    </row>
    <row r="72" spans="1:12" ht="15" customHeight="1" thickBot="1" x14ac:dyDescent="0.35">
      <c r="A72" s="567"/>
      <c r="B72" s="569"/>
      <c r="C72" s="571"/>
      <c r="D72" s="573"/>
      <c r="E72" s="235" t="s">
        <v>156</v>
      </c>
      <c r="F72" s="200">
        <f t="shared" ref="F72:K72" si="20">SUM(F70:F71)</f>
        <v>20534778</v>
      </c>
      <c r="G72" s="200">
        <f t="shared" si="20"/>
        <v>0</v>
      </c>
      <c r="H72" s="200">
        <f t="shared" si="20"/>
        <v>0</v>
      </c>
      <c r="I72" s="200">
        <f t="shared" si="20"/>
        <v>9431011</v>
      </c>
      <c r="J72" s="200">
        <f t="shared" si="20"/>
        <v>29965789</v>
      </c>
      <c r="K72" s="200">
        <f t="shared" si="20"/>
        <v>0</v>
      </c>
      <c r="L72" s="201">
        <f t="shared" si="0"/>
        <v>29965789</v>
      </c>
    </row>
    <row r="73" spans="1:12" ht="15" customHeight="1" x14ac:dyDescent="0.3">
      <c r="A73" s="565" t="s">
        <v>139</v>
      </c>
      <c r="B73" s="574" t="s">
        <v>192</v>
      </c>
      <c r="C73" s="575" t="s">
        <v>193</v>
      </c>
      <c r="D73" s="576">
        <v>1</v>
      </c>
      <c r="E73" s="202" t="s">
        <v>159</v>
      </c>
      <c r="F73" s="203">
        <v>20975000</v>
      </c>
      <c r="G73" s="203">
        <v>0</v>
      </c>
      <c r="H73" s="203">
        <v>0</v>
      </c>
      <c r="I73" s="203">
        <v>8741100</v>
      </c>
      <c r="J73" s="203">
        <f>SUM(F73:I73)</f>
        <v>29716100</v>
      </c>
      <c r="K73" s="203">
        <v>0</v>
      </c>
      <c r="L73" s="205">
        <f t="shared" si="0"/>
        <v>29716100</v>
      </c>
    </row>
    <row r="74" spans="1:12" ht="15" customHeight="1" x14ac:dyDescent="0.3">
      <c r="A74" s="566"/>
      <c r="B74" s="568"/>
      <c r="C74" s="570"/>
      <c r="D74" s="572"/>
      <c r="E74" s="183" t="s">
        <v>160</v>
      </c>
      <c r="F74" s="215">
        <v>0</v>
      </c>
      <c r="G74" s="215">
        <v>0</v>
      </c>
      <c r="H74" s="215">
        <v>0</v>
      </c>
      <c r="I74" s="215">
        <v>0</v>
      </c>
      <c r="J74" s="215">
        <v>0</v>
      </c>
      <c r="K74" s="215">
        <v>0</v>
      </c>
      <c r="L74" s="234">
        <f t="shared" si="0"/>
        <v>0</v>
      </c>
    </row>
    <row r="75" spans="1:12" ht="15" customHeight="1" thickBot="1" x14ac:dyDescent="0.35">
      <c r="A75" s="567"/>
      <c r="B75" s="569"/>
      <c r="C75" s="571"/>
      <c r="D75" s="573"/>
      <c r="E75" s="235" t="s">
        <v>156</v>
      </c>
      <c r="F75" s="200">
        <f t="shared" ref="F75:K75" si="21">SUM(F73:F74)</f>
        <v>20975000</v>
      </c>
      <c r="G75" s="200">
        <f t="shared" si="21"/>
        <v>0</v>
      </c>
      <c r="H75" s="200">
        <f t="shared" si="21"/>
        <v>0</v>
      </c>
      <c r="I75" s="200">
        <f t="shared" si="21"/>
        <v>8741100</v>
      </c>
      <c r="J75" s="200">
        <f t="shared" si="21"/>
        <v>29716100</v>
      </c>
      <c r="K75" s="200">
        <f t="shared" si="21"/>
        <v>0</v>
      </c>
      <c r="L75" s="201">
        <f t="shared" si="0"/>
        <v>29716100</v>
      </c>
    </row>
    <row r="76" spans="1:12" ht="15" customHeight="1" x14ac:dyDescent="0.3">
      <c r="A76" s="565" t="s">
        <v>140</v>
      </c>
      <c r="B76" s="568" t="s">
        <v>194</v>
      </c>
      <c r="C76" s="570" t="s">
        <v>195</v>
      </c>
      <c r="D76" s="572">
        <v>1</v>
      </c>
      <c r="E76" s="202" t="s">
        <v>159</v>
      </c>
      <c r="F76" s="203">
        <v>5914308</v>
      </c>
      <c r="G76" s="203">
        <v>0</v>
      </c>
      <c r="H76" s="203">
        <v>0</v>
      </c>
      <c r="I76" s="203">
        <v>8858595</v>
      </c>
      <c r="J76" s="203">
        <f>SUM(F76:I76)</f>
        <v>14772903</v>
      </c>
      <c r="K76" s="203">
        <v>0</v>
      </c>
      <c r="L76" s="205">
        <f t="shared" si="0"/>
        <v>14772903</v>
      </c>
    </row>
    <row r="77" spans="1:12" ht="15" customHeight="1" x14ac:dyDescent="0.3">
      <c r="A77" s="566"/>
      <c r="B77" s="568"/>
      <c r="C77" s="570"/>
      <c r="D77" s="572"/>
      <c r="E77" s="183" t="s">
        <v>160</v>
      </c>
      <c r="F77" s="215">
        <v>0</v>
      </c>
      <c r="G77" s="215">
        <v>0</v>
      </c>
      <c r="H77" s="215">
        <v>0</v>
      </c>
      <c r="I77" s="215">
        <v>0</v>
      </c>
      <c r="J77" s="215">
        <v>0</v>
      </c>
      <c r="K77" s="215">
        <v>0</v>
      </c>
      <c r="L77" s="234">
        <f t="shared" si="0"/>
        <v>0</v>
      </c>
    </row>
    <row r="78" spans="1:12" ht="15" customHeight="1" thickBot="1" x14ac:dyDescent="0.35">
      <c r="A78" s="567"/>
      <c r="B78" s="569"/>
      <c r="C78" s="571"/>
      <c r="D78" s="573"/>
      <c r="E78" s="235" t="s">
        <v>156</v>
      </c>
      <c r="F78" s="200">
        <f t="shared" ref="F78:K78" si="22">SUM(F76:F77)</f>
        <v>5914308</v>
      </c>
      <c r="G78" s="200">
        <f t="shared" si="22"/>
        <v>0</v>
      </c>
      <c r="H78" s="200">
        <f t="shared" si="22"/>
        <v>0</v>
      </c>
      <c r="I78" s="200">
        <f t="shared" si="22"/>
        <v>8858595</v>
      </c>
      <c r="J78" s="200">
        <f t="shared" si="22"/>
        <v>14772903</v>
      </c>
      <c r="K78" s="200">
        <f t="shared" si="22"/>
        <v>0</v>
      </c>
      <c r="L78" s="201">
        <f t="shared" si="0"/>
        <v>14772903</v>
      </c>
    </row>
    <row r="79" spans="1:12" ht="15" customHeight="1" x14ac:dyDescent="0.3">
      <c r="A79" s="565" t="s">
        <v>141</v>
      </c>
      <c r="B79" s="574" t="s">
        <v>196</v>
      </c>
      <c r="C79" s="575" t="s">
        <v>197</v>
      </c>
      <c r="D79" s="576">
        <v>1</v>
      </c>
      <c r="E79" s="202" t="s">
        <v>159</v>
      </c>
      <c r="F79" s="203">
        <v>10600000</v>
      </c>
      <c r="G79" s="203">
        <v>0</v>
      </c>
      <c r="H79" s="203">
        <v>0</v>
      </c>
      <c r="I79" s="203">
        <v>1004892</v>
      </c>
      <c r="J79" s="203">
        <f>SUM(F79:I79)</f>
        <v>11604892</v>
      </c>
      <c r="K79" s="203">
        <v>0</v>
      </c>
      <c r="L79" s="205">
        <f t="shared" si="0"/>
        <v>11604892</v>
      </c>
    </row>
    <row r="80" spans="1:12" ht="15" customHeight="1" x14ac:dyDescent="0.3">
      <c r="A80" s="566"/>
      <c r="B80" s="568"/>
      <c r="C80" s="570"/>
      <c r="D80" s="572"/>
      <c r="E80" s="183" t="s">
        <v>160</v>
      </c>
      <c r="F80" s="215">
        <v>0</v>
      </c>
      <c r="G80" s="215">
        <v>0</v>
      </c>
      <c r="H80" s="215">
        <v>0</v>
      </c>
      <c r="I80" s="215">
        <v>0</v>
      </c>
      <c r="J80" s="215">
        <v>0</v>
      </c>
      <c r="K80" s="215">
        <v>0</v>
      </c>
      <c r="L80" s="234">
        <f t="shared" si="0"/>
        <v>0</v>
      </c>
    </row>
    <row r="81" spans="1:12" ht="15" customHeight="1" thickBot="1" x14ac:dyDescent="0.35">
      <c r="A81" s="567"/>
      <c r="B81" s="569"/>
      <c r="C81" s="571"/>
      <c r="D81" s="573"/>
      <c r="E81" s="235" t="s">
        <v>156</v>
      </c>
      <c r="F81" s="200">
        <f t="shared" ref="F81:K81" si="23">SUM(F79:F80)</f>
        <v>10600000</v>
      </c>
      <c r="G81" s="200">
        <f t="shared" si="23"/>
        <v>0</v>
      </c>
      <c r="H81" s="200">
        <f t="shared" si="23"/>
        <v>0</v>
      </c>
      <c r="I81" s="200">
        <f t="shared" si="23"/>
        <v>1004892</v>
      </c>
      <c r="J81" s="200">
        <f t="shared" si="23"/>
        <v>11604892</v>
      </c>
      <c r="K81" s="200">
        <f t="shared" si="23"/>
        <v>0</v>
      </c>
      <c r="L81" s="201">
        <f t="shared" si="0"/>
        <v>11604892</v>
      </c>
    </row>
    <row r="82" spans="1:12" ht="15" customHeight="1" x14ac:dyDescent="0.3">
      <c r="A82" s="565" t="s">
        <v>198</v>
      </c>
      <c r="B82" s="568" t="s">
        <v>199</v>
      </c>
      <c r="C82" s="570" t="s">
        <v>200</v>
      </c>
      <c r="D82" s="572">
        <v>1</v>
      </c>
      <c r="E82" s="206" t="s">
        <v>159</v>
      </c>
      <c r="F82" s="203">
        <v>15890588</v>
      </c>
      <c r="G82" s="203">
        <v>0</v>
      </c>
      <c r="H82" s="203">
        <v>0</v>
      </c>
      <c r="I82" s="203">
        <v>6568570</v>
      </c>
      <c r="J82" s="203">
        <f>SUM(F82:I82)</f>
        <v>22459158</v>
      </c>
      <c r="K82" s="203">
        <v>0</v>
      </c>
      <c r="L82" s="209">
        <f t="shared" si="0"/>
        <v>22459158</v>
      </c>
    </row>
    <row r="83" spans="1:12" ht="15" customHeight="1" x14ac:dyDescent="0.3">
      <c r="A83" s="566"/>
      <c r="B83" s="568"/>
      <c r="C83" s="570"/>
      <c r="D83" s="572"/>
      <c r="E83" s="183" t="s">
        <v>160</v>
      </c>
      <c r="F83" s="215">
        <v>0</v>
      </c>
      <c r="G83" s="215">
        <v>0</v>
      </c>
      <c r="H83" s="215">
        <v>0</v>
      </c>
      <c r="I83" s="215">
        <v>0</v>
      </c>
      <c r="J83" s="215">
        <v>0</v>
      </c>
      <c r="K83" s="215">
        <v>0</v>
      </c>
      <c r="L83" s="234">
        <f t="shared" si="0"/>
        <v>0</v>
      </c>
    </row>
    <row r="84" spans="1:12" ht="15" customHeight="1" thickBot="1" x14ac:dyDescent="0.35">
      <c r="A84" s="567"/>
      <c r="B84" s="569"/>
      <c r="C84" s="571"/>
      <c r="D84" s="573"/>
      <c r="E84" s="235" t="s">
        <v>156</v>
      </c>
      <c r="F84" s="200">
        <f t="shared" ref="F84:K84" si="24">SUM(F82:F83)</f>
        <v>15890588</v>
      </c>
      <c r="G84" s="200">
        <f t="shared" si="24"/>
        <v>0</v>
      </c>
      <c r="H84" s="200">
        <f t="shared" si="24"/>
        <v>0</v>
      </c>
      <c r="I84" s="200">
        <f t="shared" si="24"/>
        <v>6568570</v>
      </c>
      <c r="J84" s="200">
        <f t="shared" si="24"/>
        <v>22459158</v>
      </c>
      <c r="K84" s="200">
        <f t="shared" si="24"/>
        <v>0</v>
      </c>
      <c r="L84" s="201">
        <f t="shared" si="0"/>
        <v>22459158</v>
      </c>
    </row>
    <row r="85" spans="1:12" ht="15" customHeight="1" x14ac:dyDescent="0.3">
      <c r="A85" s="565" t="s">
        <v>201</v>
      </c>
      <c r="B85" s="574" t="s">
        <v>202</v>
      </c>
      <c r="C85" s="575" t="s">
        <v>203</v>
      </c>
      <c r="D85" s="572">
        <v>1</v>
      </c>
      <c r="E85" s="202" t="s">
        <v>159</v>
      </c>
      <c r="F85" s="203">
        <v>21954165</v>
      </c>
      <c r="G85" s="203">
        <v>0</v>
      </c>
      <c r="H85" s="203">
        <v>0</v>
      </c>
      <c r="I85" s="203">
        <v>225894</v>
      </c>
      <c r="J85" s="203">
        <f>SUM(F85:I85)</f>
        <v>22180059</v>
      </c>
      <c r="K85" s="203">
        <v>0</v>
      </c>
      <c r="L85" s="205">
        <f t="shared" si="0"/>
        <v>22180059</v>
      </c>
    </row>
    <row r="86" spans="1:12" ht="15" customHeight="1" x14ac:dyDescent="0.3">
      <c r="A86" s="566"/>
      <c r="B86" s="568"/>
      <c r="C86" s="570"/>
      <c r="D86" s="572"/>
      <c r="E86" s="183" t="s">
        <v>160</v>
      </c>
      <c r="F86" s="215">
        <v>0</v>
      </c>
      <c r="G86" s="215">
        <v>0</v>
      </c>
      <c r="H86" s="215">
        <v>0</v>
      </c>
      <c r="I86" s="215">
        <v>0</v>
      </c>
      <c r="J86" s="215">
        <v>0</v>
      </c>
      <c r="K86" s="215">
        <v>0</v>
      </c>
      <c r="L86" s="234">
        <f t="shared" si="0"/>
        <v>0</v>
      </c>
    </row>
    <row r="87" spans="1:12" ht="15" customHeight="1" thickBot="1" x14ac:dyDescent="0.35">
      <c r="A87" s="567"/>
      <c r="B87" s="569"/>
      <c r="C87" s="571"/>
      <c r="D87" s="573"/>
      <c r="E87" s="235" t="s">
        <v>156</v>
      </c>
      <c r="F87" s="200">
        <f t="shared" ref="F87:K87" si="25">SUM(F85:F86)</f>
        <v>21954165</v>
      </c>
      <c r="G87" s="200">
        <f t="shared" si="25"/>
        <v>0</v>
      </c>
      <c r="H87" s="200">
        <f t="shared" si="25"/>
        <v>0</v>
      </c>
      <c r="I87" s="200">
        <f t="shared" si="25"/>
        <v>225894</v>
      </c>
      <c r="J87" s="200">
        <f t="shared" si="25"/>
        <v>22180059</v>
      </c>
      <c r="K87" s="200">
        <f t="shared" si="25"/>
        <v>0</v>
      </c>
      <c r="L87" s="201">
        <f t="shared" si="0"/>
        <v>22180059</v>
      </c>
    </row>
    <row r="88" spans="1:12" ht="15" customHeight="1" x14ac:dyDescent="0.3">
      <c r="A88" s="557" t="s">
        <v>204</v>
      </c>
      <c r="B88" s="558"/>
      <c r="C88" s="558"/>
      <c r="D88" s="559"/>
      <c r="E88" s="219" t="s">
        <v>159</v>
      </c>
      <c r="F88" s="342">
        <f>F13+F16+F19+F22+F25+F28+F31+F34+F37+F40+F43+F46+F49+F52+F55+F58+F61+F64+F67+F70+F73+F76+F79+F82+F85</f>
        <v>722044053</v>
      </c>
      <c r="G88" s="342">
        <f t="shared" ref="G88:L89" si="26">G13+G16+G19+G22+G25+G28+G31+G34+G37+G40+G43+G46+G49+G52+G55+G58+G61+G64+G67+G70+G73+G76+G79+G82+G85</f>
        <v>96601471</v>
      </c>
      <c r="H88" s="342">
        <f t="shared" si="26"/>
        <v>12969250</v>
      </c>
      <c r="I88" s="342">
        <f t="shared" si="26"/>
        <v>567944686</v>
      </c>
      <c r="J88" s="342">
        <f t="shared" si="26"/>
        <v>1399559460</v>
      </c>
      <c r="K88" s="342">
        <f t="shared" si="26"/>
        <v>11180735</v>
      </c>
      <c r="L88" s="343">
        <f t="shared" si="26"/>
        <v>1410740195</v>
      </c>
    </row>
    <row r="89" spans="1:12" ht="15" customHeight="1" x14ac:dyDescent="0.3">
      <c r="A89" s="560"/>
      <c r="B89" s="561"/>
      <c r="C89" s="561"/>
      <c r="D89" s="562"/>
      <c r="E89" s="236" t="s">
        <v>160</v>
      </c>
      <c r="F89" s="344">
        <f>F14+F17+F20+F23+F26+F29+F32+F35+F38+F41+F44+F47+F50+F53+F56+F59+F62+F65+F68+F71+F74+F77+F80+F83+F86</f>
        <v>40483437</v>
      </c>
      <c r="G89" s="344">
        <f t="shared" si="26"/>
        <v>0</v>
      </c>
      <c r="H89" s="344">
        <f t="shared" si="26"/>
        <v>0</v>
      </c>
      <c r="I89" s="344">
        <f t="shared" si="26"/>
        <v>0</v>
      </c>
      <c r="J89" s="344">
        <f t="shared" si="26"/>
        <v>40483437</v>
      </c>
      <c r="K89" s="344">
        <f t="shared" si="26"/>
        <v>0</v>
      </c>
      <c r="L89" s="345">
        <f t="shared" si="26"/>
        <v>40483437</v>
      </c>
    </row>
    <row r="90" spans="1:12" ht="15" customHeight="1" thickBot="1" x14ac:dyDescent="0.35">
      <c r="A90" s="531"/>
      <c r="B90" s="532"/>
      <c r="C90" s="532"/>
      <c r="D90" s="563"/>
      <c r="E90" s="237" t="s">
        <v>156</v>
      </c>
      <c r="F90" s="226">
        <f t="shared" ref="F90:L90" si="27">SUM(F88:F89)</f>
        <v>762527490</v>
      </c>
      <c r="G90" s="226">
        <f>SUM(G88:G89)</f>
        <v>96601471</v>
      </c>
      <c r="H90" s="226">
        <f t="shared" si="27"/>
        <v>12969250</v>
      </c>
      <c r="I90" s="226">
        <f t="shared" si="27"/>
        <v>567944686</v>
      </c>
      <c r="J90" s="226">
        <f t="shared" si="27"/>
        <v>1440042897</v>
      </c>
      <c r="K90" s="226">
        <f t="shared" si="27"/>
        <v>11180735</v>
      </c>
      <c r="L90" s="227">
        <f t="shared" si="27"/>
        <v>1451223632</v>
      </c>
    </row>
    <row r="91" spans="1:12" ht="15" customHeight="1" x14ac:dyDescent="0.3">
      <c r="A91" s="564"/>
      <c r="B91" s="564"/>
      <c r="C91" s="564"/>
      <c r="D91" s="564"/>
      <c r="E91" s="564"/>
      <c r="F91" s="564"/>
      <c r="G91" s="564"/>
      <c r="H91" s="564"/>
    </row>
    <row r="92" spans="1:12" x14ac:dyDescent="0.3">
      <c r="J92" s="228"/>
      <c r="K92" s="228"/>
    </row>
  </sheetData>
  <mergeCells count="123">
    <mergeCell ref="E1:L1"/>
    <mergeCell ref="E2:L2"/>
    <mergeCell ref="A4:L4"/>
    <mergeCell ref="A5:L5"/>
    <mergeCell ref="A6:L6"/>
    <mergeCell ref="A7:L7"/>
    <mergeCell ref="K8:L8"/>
    <mergeCell ref="A9:A12"/>
    <mergeCell ref="B9:D9"/>
    <mergeCell ref="E9:J9"/>
    <mergeCell ref="K9:K12"/>
    <mergeCell ref="L9:L12"/>
    <mergeCell ref="B10:B12"/>
    <mergeCell ref="C10:C12"/>
    <mergeCell ref="D10:D12"/>
    <mergeCell ref="E10:E12"/>
    <mergeCell ref="A16:A18"/>
    <mergeCell ref="B16:B18"/>
    <mergeCell ref="C16:C18"/>
    <mergeCell ref="D16:D18"/>
    <mergeCell ref="A19:A21"/>
    <mergeCell ref="B19:B21"/>
    <mergeCell ref="C19:C21"/>
    <mergeCell ref="D19:D21"/>
    <mergeCell ref="F10:J10"/>
    <mergeCell ref="F11:G11"/>
    <mergeCell ref="H11:H12"/>
    <mergeCell ref="I11:I12"/>
    <mergeCell ref="J11:J12"/>
    <mergeCell ref="A13:A15"/>
    <mergeCell ref="B13:B15"/>
    <mergeCell ref="C13:C15"/>
    <mergeCell ref="D13:D15"/>
    <mergeCell ref="A28:A30"/>
    <mergeCell ref="B28:B30"/>
    <mergeCell ref="C28:C30"/>
    <mergeCell ref="D28:D30"/>
    <mergeCell ref="A31:A33"/>
    <mergeCell ref="B31:B33"/>
    <mergeCell ref="C31:C33"/>
    <mergeCell ref="D31:D33"/>
    <mergeCell ref="A22:A24"/>
    <mergeCell ref="B22:B24"/>
    <mergeCell ref="C22:C24"/>
    <mergeCell ref="D22:D24"/>
    <mergeCell ref="A25:A27"/>
    <mergeCell ref="B25:B27"/>
    <mergeCell ref="C25:C27"/>
    <mergeCell ref="D25:D27"/>
    <mergeCell ref="A40:A42"/>
    <mergeCell ref="B40:B42"/>
    <mergeCell ref="C40:C42"/>
    <mergeCell ref="D40:D42"/>
    <mergeCell ref="A43:A45"/>
    <mergeCell ref="B43:B45"/>
    <mergeCell ref="C43:C45"/>
    <mergeCell ref="D43:D45"/>
    <mergeCell ref="A34:A36"/>
    <mergeCell ref="B34:B36"/>
    <mergeCell ref="C34:C36"/>
    <mergeCell ref="D34:D36"/>
    <mergeCell ref="A37:A39"/>
    <mergeCell ref="B37:B39"/>
    <mergeCell ref="C37:C39"/>
    <mergeCell ref="D37:D39"/>
    <mergeCell ref="A52:A54"/>
    <mergeCell ref="B52:B54"/>
    <mergeCell ref="C52:C54"/>
    <mergeCell ref="D52:D54"/>
    <mergeCell ref="A55:A57"/>
    <mergeCell ref="B55:B57"/>
    <mergeCell ref="C55:C57"/>
    <mergeCell ref="D55:D57"/>
    <mergeCell ref="A46:A48"/>
    <mergeCell ref="B46:B48"/>
    <mergeCell ref="C46:C48"/>
    <mergeCell ref="D46:D48"/>
    <mergeCell ref="A49:A51"/>
    <mergeCell ref="B49:B51"/>
    <mergeCell ref="C49:C51"/>
    <mergeCell ref="D49:D51"/>
    <mergeCell ref="A64:A66"/>
    <mergeCell ref="B64:B66"/>
    <mergeCell ref="C64:C66"/>
    <mergeCell ref="D64:D66"/>
    <mergeCell ref="A67:A69"/>
    <mergeCell ref="B67:B69"/>
    <mergeCell ref="C67:C69"/>
    <mergeCell ref="D67:D69"/>
    <mergeCell ref="A58:A60"/>
    <mergeCell ref="B58:B60"/>
    <mergeCell ref="C58:C60"/>
    <mergeCell ref="D58:D60"/>
    <mergeCell ref="A61:A63"/>
    <mergeCell ref="B61:B63"/>
    <mergeCell ref="C61:C63"/>
    <mergeCell ref="D61:D63"/>
    <mergeCell ref="A76:A78"/>
    <mergeCell ref="B76:B78"/>
    <mergeCell ref="C76:C78"/>
    <mergeCell ref="D76:D78"/>
    <mergeCell ref="A79:A81"/>
    <mergeCell ref="B79:B81"/>
    <mergeCell ref="C79:C81"/>
    <mergeCell ref="D79:D81"/>
    <mergeCell ref="A70:A72"/>
    <mergeCell ref="B70:B72"/>
    <mergeCell ref="C70:C72"/>
    <mergeCell ref="D70:D72"/>
    <mergeCell ref="A73:A75"/>
    <mergeCell ref="B73:B75"/>
    <mergeCell ref="C73:C75"/>
    <mergeCell ref="D73:D75"/>
    <mergeCell ref="A88:D90"/>
    <mergeCell ref="A91:H91"/>
    <mergeCell ref="A82:A84"/>
    <mergeCell ref="B82:B84"/>
    <mergeCell ref="C82:C84"/>
    <mergeCell ref="D82:D84"/>
    <mergeCell ref="A85:A87"/>
    <mergeCell ref="B85:B87"/>
    <mergeCell ref="C85:C87"/>
    <mergeCell ref="D85:D87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5" orientation="landscape" horizontalDpi="300" verticalDpi="300" r:id="rId1"/>
  <rowBreaks count="1" manualBreakCount="1">
    <brk id="45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4618B-F529-432B-BC10-A71029B03C7F}">
  <sheetPr>
    <tabColor theme="7" tint="0.59999389629810485"/>
  </sheetPr>
  <dimension ref="A1:L92"/>
  <sheetViews>
    <sheetView zoomScaleNormal="100" workbookViewId="0">
      <selection activeCell="N9" sqref="N9"/>
    </sheetView>
  </sheetViews>
  <sheetFormatPr defaultColWidth="9.109375" defaultRowHeight="15.6" x14ac:dyDescent="0.3"/>
  <cols>
    <col min="1" max="1" width="4.5546875" style="184" customWidth="1"/>
    <col min="2" max="2" width="20.109375" style="184" customWidth="1"/>
    <col min="3" max="3" width="29.109375" style="184" customWidth="1"/>
    <col min="4" max="4" width="13.33203125" style="184" customWidth="1"/>
    <col min="5" max="5" width="13.44140625" style="184" customWidth="1"/>
    <col min="6" max="6" width="13.6640625" style="184" customWidth="1"/>
    <col min="7" max="7" width="11.6640625" style="184" customWidth="1"/>
    <col min="8" max="8" width="13.6640625" style="184" customWidth="1"/>
    <col min="9" max="9" width="11.6640625" style="184" customWidth="1"/>
    <col min="10" max="10" width="13.33203125" style="184" customWidth="1"/>
    <col min="11" max="11" width="14.6640625" style="184" customWidth="1"/>
    <col min="12" max="12" width="10.109375" style="184" bestFit="1" customWidth="1"/>
    <col min="13" max="16384" width="9.109375" style="184"/>
  </cols>
  <sheetData>
    <row r="1" spans="1:12" ht="18" customHeight="1" x14ac:dyDescent="0.3">
      <c r="A1" s="177"/>
      <c r="B1" s="177"/>
      <c r="C1" s="177"/>
      <c r="D1" s="177"/>
      <c r="E1" s="434" t="s">
        <v>241</v>
      </c>
      <c r="F1" s="434"/>
      <c r="G1" s="434"/>
      <c r="H1" s="434"/>
      <c r="I1" s="434"/>
      <c r="J1" s="434"/>
      <c r="K1" s="434"/>
    </row>
    <row r="2" spans="1:12" ht="18" customHeight="1" x14ac:dyDescent="0.3">
      <c r="A2" s="177"/>
      <c r="B2" s="177"/>
      <c r="C2" s="177"/>
      <c r="D2" s="177"/>
      <c r="E2" s="434" t="s">
        <v>142</v>
      </c>
      <c r="F2" s="434"/>
      <c r="G2" s="434"/>
      <c r="H2" s="434"/>
      <c r="I2" s="434"/>
      <c r="J2" s="434"/>
      <c r="K2" s="434"/>
    </row>
    <row r="3" spans="1:12" ht="16.5" customHeight="1" x14ac:dyDescent="0.3">
      <c r="A3" s="144"/>
      <c r="B3" s="144"/>
      <c r="C3" s="144"/>
      <c r="D3" s="144"/>
      <c r="E3" s="144"/>
      <c r="F3" s="30"/>
      <c r="G3" s="30"/>
      <c r="H3" s="28"/>
      <c r="I3" s="30"/>
      <c r="J3" s="30"/>
      <c r="K3" s="30"/>
    </row>
    <row r="4" spans="1:12" ht="16.5" customHeight="1" x14ac:dyDescent="0.3">
      <c r="A4" s="525" t="s">
        <v>248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</row>
    <row r="5" spans="1:12" ht="15.9" customHeight="1" x14ac:dyDescent="0.3">
      <c r="A5" s="556" t="s">
        <v>143</v>
      </c>
      <c r="B5" s="556"/>
      <c r="C5" s="556"/>
      <c r="D5" s="556"/>
      <c r="E5" s="556"/>
      <c r="F5" s="556"/>
      <c r="G5" s="556"/>
      <c r="H5" s="556"/>
      <c r="I5" s="556"/>
      <c r="J5" s="556"/>
      <c r="K5" s="556"/>
    </row>
    <row r="6" spans="1:12" s="185" customFormat="1" ht="15.9" customHeight="1" x14ac:dyDescent="0.3">
      <c r="A6" s="525" t="s">
        <v>97</v>
      </c>
      <c r="B6" s="525"/>
      <c r="C6" s="525"/>
      <c r="D6" s="525"/>
      <c r="E6" s="525"/>
      <c r="F6" s="525"/>
      <c r="G6" s="525"/>
      <c r="H6" s="525"/>
      <c r="I6" s="525"/>
      <c r="J6" s="525"/>
      <c r="K6" s="525"/>
    </row>
    <row r="7" spans="1:12" s="185" customFormat="1" ht="15.9" customHeight="1" x14ac:dyDescent="0.3">
      <c r="A7" s="425" t="s">
        <v>243</v>
      </c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231"/>
    </row>
    <row r="8" spans="1:12" ht="16.2" thickBot="1" x14ac:dyDescent="0.35">
      <c r="J8" s="602" t="s">
        <v>101</v>
      </c>
      <c r="K8" s="602"/>
    </row>
    <row r="9" spans="1:12" ht="15.9" customHeight="1" x14ac:dyDescent="0.3">
      <c r="A9" s="603" t="s">
        <v>102</v>
      </c>
      <c r="B9" s="606" t="s">
        <v>144</v>
      </c>
      <c r="C9" s="607"/>
      <c r="D9" s="608"/>
      <c r="E9" s="609" t="s">
        <v>145</v>
      </c>
      <c r="F9" s="610"/>
      <c r="G9" s="610"/>
      <c r="H9" s="610"/>
      <c r="I9" s="610"/>
      <c r="J9" s="610"/>
      <c r="K9" s="641"/>
    </row>
    <row r="10" spans="1:12" ht="15.9" customHeight="1" x14ac:dyDescent="0.3">
      <c r="A10" s="604"/>
      <c r="B10" s="642" t="s">
        <v>146</v>
      </c>
      <c r="C10" s="618" t="s">
        <v>147</v>
      </c>
      <c r="D10" s="618" t="s">
        <v>148</v>
      </c>
      <c r="E10" s="618" t="s">
        <v>149</v>
      </c>
      <c r="F10" s="594" t="s">
        <v>150</v>
      </c>
      <c r="G10" s="595"/>
      <c r="H10" s="595"/>
      <c r="I10" s="595"/>
      <c r="J10" s="595"/>
      <c r="K10" s="644"/>
    </row>
    <row r="11" spans="1:12" ht="24.75" customHeight="1" thickBot="1" x14ac:dyDescent="0.35">
      <c r="A11" s="605"/>
      <c r="B11" s="643"/>
      <c r="C11" s="614"/>
      <c r="D11" s="614"/>
      <c r="E11" s="614"/>
      <c r="F11" s="186" t="s">
        <v>151</v>
      </c>
      <c r="G11" s="186" t="s">
        <v>152</v>
      </c>
      <c r="H11" s="186" t="s">
        <v>153</v>
      </c>
      <c r="I11" s="187" t="s">
        <v>154</v>
      </c>
      <c r="J11" s="188" t="s">
        <v>155</v>
      </c>
      <c r="K11" s="189" t="s">
        <v>156</v>
      </c>
    </row>
    <row r="12" spans="1:12" s="194" customFormat="1" ht="15" customHeight="1" x14ac:dyDescent="0.3">
      <c r="A12" s="565" t="s">
        <v>1</v>
      </c>
      <c r="B12" s="593" t="s">
        <v>157</v>
      </c>
      <c r="C12" s="593" t="s">
        <v>158</v>
      </c>
      <c r="D12" s="576">
        <v>0.95</v>
      </c>
      <c r="E12" s="190" t="s">
        <v>159</v>
      </c>
      <c r="F12" s="191">
        <f>269027+209766</f>
        <v>478793</v>
      </c>
      <c r="G12" s="191">
        <f>34973+11139</f>
        <v>46112</v>
      </c>
      <c r="H12" s="191">
        <f>2000000+129074</f>
        <v>2129074</v>
      </c>
      <c r="I12" s="191">
        <v>0</v>
      </c>
      <c r="J12" s="192">
        <v>0</v>
      </c>
      <c r="K12" s="193">
        <f>F12+G12+H12+I12+J12</f>
        <v>2653979</v>
      </c>
    </row>
    <row r="13" spans="1:12" s="194" customFormat="1" ht="15" customHeight="1" x14ac:dyDescent="0.3">
      <c r="A13" s="566"/>
      <c r="B13" s="591"/>
      <c r="C13" s="591"/>
      <c r="D13" s="572"/>
      <c r="E13" s="195" t="s">
        <v>160</v>
      </c>
      <c r="F13" s="196">
        <v>570000</v>
      </c>
      <c r="G13" s="196">
        <v>75525</v>
      </c>
      <c r="H13" s="196">
        <v>0</v>
      </c>
      <c r="I13" s="196">
        <v>0</v>
      </c>
      <c r="J13" s="197">
        <v>0</v>
      </c>
      <c r="K13" s="198">
        <f>F13+G13+H13+I13+J13</f>
        <v>645525</v>
      </c>
    </row>
    <row r="14" spans="1:12" ht="15" customHeight="1" thickBot="1" x14ac:dyDescent="0.35">
      <c r="A14" s="567"/>
      <c r="B14" s="592"/>
      <c r="C14" s="592"/>
      <c r="D14" s="573"/>
      <c r="E14" s="199" t="s">
        <v>156</v>
      </c>
      <c r="F14" s="200">
        <f t="shared" ref="F14:K14" si="0">SUM(F12:F13)</f>
        <v>1048793</v>
      </c>
      <c r="G14" s="200">
        <f t="shared" si="0"/>
        <v>121637</v>
      </c>
      <c r="H14" s="200">
        <f t="shared" si="0"/>
        <v>2129074</v>
      </c>
      <c r="I14" s="200">
        <f t="shared" si="0"/>
        <v>0</v>
      </c>
      <c r="J14" s="200">
        <f t="shared" si="0"/>
        <v>0</v>
      </c>
      <c r="K14" s="201">
        <f t="shared" si="0"/>
        <v>3299504</v>
      </c>
    </row>
    <row r="15" spans="1:12" ht="15" customHeight="1" x14ac:dyDescent="0.3">
      <c r="A15" s="565" t="s">
        <v>2</v>
      </c>
      <c r="B15" s="593" t="s">
        <v>161</v>
      </c>
      <c r="C15" s="593" t="s">
        <v>162</v>
      </c>
      <c r="D15" s="576">
        <v>0.95</v>
      </c>
      <c r="E15" s="202" t="s">
        <v>159</v>
      </c>
      <c r="F15" s="203">
        <v>0</v>
      </c>
      <c r="G15" s="203">
        <v>0</v>
      </c>
      <c r="H15" s="203">
        <v>0</v>
      </c>
      <c r="I15" s="203">
        <v>0</v>
      </c>
      <c r="J15" s="204">
        <v>0</v>
      </c>
      <c r="K15" s="205">
        <f>F15+G15+H15+I15+J15</f>
        <v>0</v>
      </c>
    </row>
    <row r="16" spans="1:12" ht="15" customHeight="1" x14ac:dyDescent="0.3">
      <c r="A16" s="566"/>
      <c r="B16" s="591"/>
      <c r="C16" s="591"/>
      <c r="D16" s="572"/>
      <c r="E16" s="206" t="s">
        <v>160</v>
      </c>
      <c r="F16" s="207">
        <v>693000</v>
      </c>
      <c r="G16" s="207">
        <v>94378</v>
      </c>
      <c r="H16" s="207">
        <v>0</v>
      </c>
      <c r="I16" s="207">
        <v>0</v>
      </c>
      <c r="J16" s="208">
        <v>0</v>
      </c>
      <c r="K16" s="209">
        <f>F16+G16+H16+I16+J16</f>
        <v>787378</v>
      </c>
    </row>
    <row r="17" spans="1:11" ht="15" customHeight="1" thickBot="1" x14ac:dyDescent="0.35">
      <c r="A17" s="567"/>
      <c r="B17" s="592"/>
      <c r="C17" s="592"/>
      <c r="D17" s="573"/>
      <c r="E17" s="199" t="s">
        <v>156</v>
      </c>
      <c r="F17" s="200">
        <f t="shared" ref="F17:K17" si="1">SUM(F15:F16)</f>
        <v>693000</v>
      </c>
      <c r="G17" s="200">
        <f t="shared" si="1"/>
        <v>94378</v>
      </c>
      <c r="H17" s="200">
        <f t="shared" si="1"/>
        <v>0</v>
      </c>
      <c r="I17" s="200">
        <f t="shared" si="1"/>
        <v>0</v>
      </c>
      <c r="J17" s="200">
        <f t="shared" si="1"/>
        <v>0</v>
      </c>
      <c r="K17" s="201">
        <f t="shared" si="1"/>
        <v>787378</v>
      </c>
    </row>
    <row r="18" spans="1:11" ht="15" customHeight="1" x14ac:dyDescent="0.3">
      <c r="A18" s="565" t="s">
        <v>4</v>
      </c>
      <c r="B18" s="593" t="s">
        <v>163</v>
      </c>
      <c r="C18" s="593" t="s">
        <v>164</v>
      </c>
      <c r="D18" s="576">
        <v>0.95</v>
      </c>
      <c r="E18" s="202" t="s">
        <v>159</v>
      </c>
      <c r="F18" s="203">
        <v>3771520</v>
      </c>
      <c r="G18" s="203">
        <v>598576</v>
      </c>
      <c r="H18" s="203">
        <v>4529600</v>
      </c>
      <c r="I18" s="203">
        <v>0</v>
      </c>
      <c r="J18" s="204">
        <v>0</v>
      </c>
      <c r="K18" s="205">
        <f>F18+G18+H18+I18+J18</f>
        <v>8899696</v>
      </c>
    </row>
    <row r="19" spans="1:11" ht="15" customHeight="1" x14ac:dyDescent="0.3">
      <c r="A19" s="566"/>
      <c r="B19" s="591"/>
      <c r="C19" s="591"/>
      <c r="D19" s="572"/>
      <c r="E19" s="206" t="s">
        <v>160</v>
      </c>
      <c r="F19" s="207">
        <v>6408710</v>
      </c>
      <c r="G19" s="207">
        <v>849234</v>
      </c>
      <c r="H19" s="207">
        <v>0</v>
      </c>
      <c r="I19" s="207">
        <v>0</v>
      </c>
      <c r="J19" s="208">
        <v>0</v>
      </c>
      <c r="K19" s="209">
        <f>F19+G19+H19+I19+J19</f>
        <v>7257944</v>
      </c>
    </row>
    <row r="20" spans="1:11" ht="15" customHeight="1" thickBot="1" x14ac:dyDescent="0.35">
      <c r="A20" s="567"/>
      <c r="B20" s="592"/>
      <c r="C20" s="592"/>
      <c r="D20" s="573"/>
      <c r="E20" s="199" t="s">
        <v>156</v>
      </c>
      <c r="F20" s="200">
        <f t="shared" ref="F20:K20" si="2">SUM(F18:F19)</f>
        <v>10180230</v>
      </c>
      <c r="G20" s="200">
        <f t="shared" si="2"/>
        <v>1447810</v>
      </c>
      <c r="H20" s="200">
        <f t="shared" si="2"/>
        <v>4529600</v>
      </c>
      <c r="I20" s="200">
        <f t="shared" si="2"/>
        <v>0</v>
      </c>
      <c r="J20" s="200">
        <f t="shared" si="2"/>
        <v>0</v>
      </c>
      <c r="K20" s="201">
        <f t="shared" si="2"/>
        <v>16157640</v>
      </c>
    </row>
    <row r="21" spans="1:11" ht="15" customHeight="1" x14ac:dyDescent="0.3">
      <c r="A21" s="565" t="s">
        <v>108</v>
      </c>
      <c r="B21" s="593" t="s">
        <v>165</v>
      </c>
      <c r="C21" s="593" t="s">
        <v>166</v>
      </c>
      <c r="D21" s="576">
        <v>0.95</v>
      </c>
      <c r="E21" s="202" t="s">
        <v>159</v>
      </c>
      <c r="F21" s="203">
        <f>700000+265000</f>
        <v>965000</v>
      </c>
      <c r="G21" s="203">
        <v>231280</v>
      </c>
      <c r="H21" s="203">
        <f>3568720-265000</f>
        <v>3303720</v>
      </c>
      <c r="I21" s="203">
        <v>0</v>
      </c>
      <c r="J21" s="204">
        <v>0</v>
      </c>
      <c r="K21" s="205">
        <f>F21+G21+H21+I21+J21</f>
        <v>4500000</v>
      </c>
    </row>
    <row r="22" spans="1:11" ht="15" customHeight="1" x14ac:dyDescent="0.3">
      <c r="A22" s="566"/>
      <c r="B22" s="591"/>
      <c r="C22" s="591"/>
      <c r="D22" s="572"/>
      <c r="E22" s="206" t="s">
        <v>160</v>
      </c>
      <c r="F22" s="207">
        <v>8199700</v>
      </c>
      <c r="G22" s="207">
        <v>1085973</v>
      </c>
      <c r="H22" s="207">
        <v>0</v>
      </c>
      <c r="I22" s="207">
        <v>0</v>
      </c>
      <c r="J22" s="208">
        <v>0</v>
      </c>
      <c r="K22" s="209">
        <f>F22+G22+H22+I22+J22</f>
        <v>9285673</v>
      </c>
    </row>
    <row r="23" spans="1:11" ht="15" customHeight="1" thickBot="1" x14ac:dyDescent="0.35">
      <c r="A23" s="567"/>
      <c r="B23" s="592"/>
      <c r="C23" s="592"/>
      <c r="D23" s="573"/>
      <c r="E23" s="199" t="s">
        <v>156</v>
      </c>
      <c r="F23" s="200">
        <f t="shared" ref="F23:K23" si="3">SUM(F21:F22)</f>
        <v>9164700</v>
      </c>
      <c r="G23" s="200">
        <f t="shared" si="3"/>
        <v>1317253</v>
      </c>
      <c r="H23" s="200">
        <f t="shared" si="3"/>
        <v>3303720</v>
      </c>
      <c r="I23" s="200">
        <f t="shared" si="3"/>
        <v>0</v>
      </c>
      <c r="J23" s="200">
        <f t="shared" si="3"/>
        <v>0</v>
      </c>
      <c r="K23" s="201">
        <f t="shared" si="3"/>
        <v>13785673</v>
      </c>
    </row>
    <row r="24" spans="1:11" ht="15" customHeight="1" x14ac:dyDescent="0.3">
      <c r="A24" s="565" t="s">
        <v>110</v>
      </c>
      <c r="B24" s="593" t="s">
        <v>167</v>
      </c>
      <c r="C24" s="593" t="s">
        <v>168</v>
      </c>
      <c r="D24" s="576">
        <v>0.95</v>
      </c>
      <c r="E24" s="202" t="s">
        <v>159</v>
      </c>
      <c r="F24" s="203">
        <v>1886720</v>
      </c>
      <c r="G24" s="203">
        <v>295932</v>
      </c>
      <c r="H24" s="203">
        <v>885920</v>
      </c>
      <c r="I24" s="203">
        <v>0</v>
      </c>
      <c r="J24" s="204">
        <v>0</v>
      </c>
      <c r="K24" s="205">
        <f>F24+G24+H24+I24+J24</f>
        <v>3068572</v>
      </c>
    </row>
    <row r="25" spans="1:11" ht="15" customHeight="1" x14ac:dyDescent="0.3">
      <c r="A25" s="566"/>
      <c r="B25" s="591"/>
      <c r="C25" s="591"/>
      <c r="D25" s="572"/>
      <c r="E25" s="206" t="s">
        <v>160</v>
      </c>
      <c r="F25" s="207">
        <v>2298000</v>
      </c>
      <c r="G25" s="207">
        <v>311228</v>
      </c>
      <c r="H25" s="207">
        <v>0</v>
      </c>
      <c r="I25" s="207">
        <v>0</v>
      </c>
      <c r="J25" s="208">
        <v>0</v>
      </c>
      <c r="K25" s="209">
        <f>F25+G25+H25+I25+J25</f>
        <v>2609228</v>
      </c>
    </row>
    <row r="26" spans="1:11" ht="15" customHeight="1" thickBot="1" x14ac:dyDescent="0.35">
      <c r="A26" s="567"/>
      <c r="B26" s="592"/>
      <c r="C26" s="592"/>
      <c r="D26" s="573"/>
      <c r="E26" s="199" t="s">
        <v>156</v>
      </c>
      <c r="F26" s="200">
        <f t="shared" ref="F26:K26" si="4">SUM(F24:F25)</f>
        <v>4184720</v>
      </c>
      <c r="G26" s="200">
        <f t="shared" si="4"/>
        <v>607160</v>
      </c>
      <c r="H26" s="200">
        <f t="shared" si="4"/>
        <v>885920</v>
      </c>
      <c r="I26" s="200">
        <f t="shared" si="4"/>
        <v>0</v>
      </c>
      <c r="J26" s="200">
        <f t="shared" si="4"/>
        <v>0</v>
      </c>
      <c r="K26" s="201">
        <f t="shared" si="4"/>
        <v>5677800</v>
      </c>
    </row>
    <row r="27" spans="1:11" s="194" customFormat="1" ht="15" customHeight="1" x14ac:dyDescent="0.3">
      <c r="A27" s="631" t="s">
        <v>111</v>
      </c>
      <c r="B27" s="589" t="s">
        <v>169</v>
      </c>
      <c r="C27" s="589" t="s">
        <v>170</v>
      </c>
      <c r="D27" s="572">
        <v>0.95</v>
      </c>
      <c r="E27" s="195" t="s">
        <v>159</v>
      </c>
      <c r="F27" s="210">
        <f>1500000-1000000+1276475</f>
        <v>1776475</v>
      </c>
      <c r="G27" s="210">
        <f>495600-330400+13437</f>
        <v>178637</v>
      </c>
      <c r="H27" s="210">
        <f>6048400-4235453-1592566</f>
        <v>220381</v>
      </c>
      <c r="I27" s="210">
        <v>0</v>
      </c>
      <c r="J27" s="211">
        <f>2000000+905000</f>
        <v>2905000</v>
      </c>
      <c r="K27" s="198">
        <f>F27+G27+H27+I27+J27</f>
        <v>5080493</v>
      </c>
    </row>
    <row r="28" spans="1:11" ht="15" customHeight="1" x14ac:dyDescent="0.3">
      <c r="A28" s="632"/>
      <c r="B28" s="589"/>
      <c r="C28" s="589"/>
      <c r="D28" s="572"/>
      <c r="E28" s="206" t="s">
        <v>160</v>
      </c>
      <c r="F28" s="207">
        <f>5751130+3724560+1200000</f>
        <v>10675690</v>
      </c>
      <c r="G28" s="207">
        <f>780061+641293</f>
        <v>1421354</v>
      </c>
      <c r="H28" s="207">
        <v>0</v>
      </c>
      <c r="I28" s="207">
        <v>0</v>
      </c>
      <c r="J28" s="208">
        <v>0</v>
      </c>
      <c r="K28" s="209">
        <f>F28+G28+H28+I28+J28</f>
        <v>12097044</v>
      </c>
    </row>
    <row r="29" spans="1:11" ht="15" customHeight="1" thickBot="1" x14ac:dyDescent="0.35">
      <c r="A29" s="633"/>
      <c r="B29" s="590"/>
      <c r="C29" s="590"/>
      <c r="D29" s="573"/>
      <c r="E29" s="199" t="s">
        <v>156</v>
      </c>
      <c r="F29" s="200">
        <f t="shared" ref="F29:K29" si="5">SUM(F27:F28)</f>
        <v>12452165</v>
      </c>
      <c r="G29" s="200">
        <f t="shared" si="5"/>
        <v>1599991</v>
      </c>
      <c r="H29" s="200">
        <f t="shared" si="5"/>
        <v>220381</v>
      </c>
      <c r="I29" s="200">
        <f t="shared" si="5"/>
        <v>0</v>
      </c>
      <c r="J29" s="200">
        <f t="shared" si="5"/>
        <v>2905000</v>
      </c>
      <c r="K29" s="201">
        <f t="shared" si="5"/>
        <v>17177537</v>
      </c>
    </row>
    <row r="30" spans="1:11" ht="15" customHeight="1" x14ac:dyDescent="0.3">
      <c r="A30" s="565" t="s">
        <v>113</v>
      </c>
      <c r="B30" s="591" t="s">
        <v>171</v>
      </c>
      <c r="C30" s="591" t="s">
        <v>172</v>
      </c>
      <c r="D30" s="572">
        <v>0.9395</v>
      </c>
      <c r="E30" s="206" t="s">
        <v>159</v>
      </c>
      <c r="F30" s="212">
        <v>0</v>
      </c>
      <c r="G30" s="212">
        <v>0</v>
      </c>
      <c r="H30" s="212">
        <f>167301+50378</f>
        <v>217679</v>
      </c>
      <c r="I30" s="212">
        <v>0</v>
      </c>
      <c r="J30" s="213">
        <v>0</v>
      </c>
      <c r="K30" s="209">
        <f>F30+G30+H30+I30+J30</f>
        <v>217679</v>
      </c>
    </row>
    <row r="31" spans="1:11" ht="15" customHeight="1" x14ac:dyDescent="0.3">
      <c r="A31" s="566"/>
      <c r="B31" s="591"/>
      <c r="C31" s="591"/>
      <c r="D31" s="572"/>
      <c r="E31" s="206" t="s">
        <v>160</v>
      </c>
      <c r="F31" s="207">
        <v>1620000</v>
      </c>
      <c r="G31" s="207">
        <v>210600</v>
      </c>
      <c r="H31" s="207">
        <v>0</v>
      </c>
      <c r="I31" s="207">
        <v>0</v>
      </c>
      <c r="J31" s="208">
        <v>0</v>
      </c>
      <c r="K31" s="209">
        <f>F31+G31+H31+I31+J31</f>
        <v>1830600</v>
      </c>
    </row>
    <row r="32" spans="1:11" ht="15" customHeight="1" thickBot="1" x14ac:dyDescent="0.35">
      <c r="A32" s="567"/>
      <c r="B32" s="592"/>
      <c r="C32" s="592"/>
      <c r="D32" s="573"/>
      <c r="E32" s="199" t="s">
        <v>156</v>
      </c>
      <c r="F32" s="200">
        <f t="shared" ref="F32:K32" si="6">SUM(F30:F31)</f>
        <v>1620000</v>
      </c>
      <c r="G32" s="200">
        <f t="shared" si="6"/>
        <v>210600</v>
      </c>
      <c r="H32" s="200">
        <f t="shared" si="6"/>
        <v>217679</v>
      </c>
      <c r="I32" s="200">
        <f t="shared" si="6"/>
        <v>0</v>
      </c>
      <c r="J32" s="200">
        <f t="shared" si="6"/>
        <v>0</v>
      </c>
      <c r="K32" s="201">
        <f t="shared" si="6"/>
        <v>2048279</v>
      </c>
    </row>
    <row r="33" spans="1:11" s="194" customFormat="1" ht="15" customHeight="1" x14ac:dyDescent="0.3">
      <c r="A33" s="631" t="s">
        <v>115</v>
      </c>
      <c r="B33" s="584" t="s">
        <v>173</v>
      </c>
      <c r="C33" s="589">
        <v>101035163</v>
      </c>
      <c r="D33" s="572">
        <v>0.60099999999999998</v>
      </c>
      <c r="E33" s="195" t="s">
        <v>159</v>
      </c>
      <c r="F33" s="210">
        <f>1500000+600000</f>
        <v>2100000</v>
      </c>
      <c r="G33" s="210">
        <v>500000</v>
      </c>
      <c r="H33" s="210">
        <f>5826469-500000-600000</f>
        <v>4726469</v>
      </c>
      <c r="I33" s="210">
        <v>0</v>
      </c>
      <c r="J33" s="211">
        <v>500000</v>
      </c>
      <c r="K33" s="198">
        <f>F33+G33+H33+I33+J33</f>
        <v>7826469</v>
      </c>
    </row>
    <row r="34" spans="1:11" s="194" customFormat="1" ht="15" customHeight="1" x14ac:dyDescent="0.3">
      <c r="A34" s="632"/>
      <c r="B34" s="584"/>
      <c r="C34" s="589"/>
      <c r="D34" s="572"/>
      <c r="E34" s="195" t="s">
        <v>160</v>
      </c>
      <c r="F34" s="214">
        <v>8722992</v>
      </c>
      <c r="G34" s="214">
        <f>1194535+35000</f>
        <v>1229535</v>
      </c>
      <c r="H34" s="214">
        <f>756737-35000</f>
        <v>721737</v>
      </c>
      <c r="I34" s="214">
        <v>0</v>
      </c>
      <c r="J34" s="197">
        <v>0</v>
      </c>
      <c r="K34" s="198">
        <f>F34+G34+H34+I34+J34</f>
        <v>10674264</v>
      </c>
    </row>
    <row r="35" spans="1:11" ht="15" customHeight="1" thickBot="1" x14ac:dyDescent="0.35">
      <c r="A35" s="633"/>
      <c r="B35" s="585"/>
      <c r="C35" s="590"/>
      <c r="D35" s="573"/>
      <c r="E35" s="199" t="s">
        <v>156</v>
      </c>
      <c r="F35" s="200">
        <f t="shared" ref="F35:K35" si="7">SUM(F33:F34)</f>
        <v>10822992</v>
      </c>
      <c r="G35" s="200">
        <f t="shared" si="7"/>
        <v>1729535</v>
      </c>
      <c r="H35" s="200">
        <f t="shared" si="7"/>
        <v>5448206</v>
      </c>
      <c r="I35" s="200">
        <f t="shared" si="7"/>
        <v>0</v>
      </c>
      <c r="J35" s="200">
        <f t="shared" si="7"/>
        <v>500000</v>
      </c>
      <c r="K35" s="201">
        <f t="shared" si="7"/>
        <v>18500733</v>
      </c>
    </row>
    <row r="36" spans="1:11" s="194" customFormat="1" ht="15" customHeight="1" x14ac:dyDescent="0.3">
      <c r="A36" s="631" t="s">
        <v>117</v>
      </c>
      <c r="B36" s="584" t="str">
        <f>'4.'!B21</f>
        <v>SOCRATES</v>
      </c>
      <c r="C36" s="640">
        <f>'4.'!C21</f>
        <v>101074095</v>
      </c>
      <c r="D36" s="576">
        <v>0.9</v>
      </c>
      <c r="E36" s="195" t="s">
        <v>159</v>
      </c>
      <c r="F36" s="210">
        <v>600000</v>
      </c>
      <c r="G36" s="210">
        <v>250000</v>
      </c>
      <c r="H36" s="210">
        <f>2706047-2025000</f>
        <v>681047</v>
      </c>
      <c r="I36" s="210">
        <v>4242582</v>
      </c>
      <c r="J36" s="211">
        <v>0</v>
      </c>
      <c r="K36" s="198">
        <f>F36+G36+H36+I36+J36</f>
        <v>5773629</v>
      </c>
    </row>
    <row r="37" spans="1:11" s="194" customFormat="1" ht="15" customHeight="1" x14ac:dyDescent="0.3">
      <c r="A37" s="632"/>
      <c r="B37" s="584"/>
      <c r="C37" s="589"/>
      <c r="D37" s="572"/>
      <c r="E37" s="195" t="s">
        <v>160</v>
      </c>
      <c r="F37" s="214">
        <f>3396578+1700000</f>
        <v>5096578</v>
      </c>
      <c r="G37" s="214">
        <f>441555+275000</f>
        <v>716555</v>
      </c>
      <c r="H37" s="214">
        <v>50000</v>
      </c>
      <c r="I37" s="214">
        <v>0</v>
      </c>
      <c r="J37" s="197">
        <v>0</v>
      </c>
      <c r="K37" s="198">
        <f>F37+G37+H37+I37+J37</f>
        <v>5863133</v>
      </c>
    </row>
    <row r="38" spans="1:11" ht="15" customHeight="1" thickBot="1" x14ac:dyDescent="0.35">
      <c r="A38" s="633"/>
      <c r="B38" s="585"/>
      <c r="C38" s="590"/>
      <c r="D38" s="573"/>
      <c r="E38" s="199" t="s">
        <v>156</v>
      </c>
      <c r="F38" s="200">
        <f t="shared" ref="F38:K38" si="8">SUM(F36:F37)</f>
        <v>5696578</v>
      </c>
      <c r="G38" s="200">
        <f t="shared" si="8"/>
        <v>966555</v>
      </c>
      <c r="H38" s="200">
        <f t="shared" si="8"/>
        <v>731047</v>
      </c>
      <c r="I38" s="200">
        <f t="shared" si="8"/>
        <v>4242582</v>
      </c>
      <c r="J38" s="200">
        <f t="shared" si="8"/>
        <v>0</v>
      </c>
      <c r="K38" s="201">
        <f t="shared" si="8"/>
        <v>11636762</v>
      </c>
    </row>
    <row r="39" spans="1:11" ht="15" customHeight="1" x14ac:dyDescent="0.3">
      <c r="A39" s="631" t="s">
        <v>118</v>
      </c>
      <c r="B39" s="583" t="s">
        <v>174</v>
      </c>
      <c r="C39" s="634" t="s">
        <v>175</v>
      </c>
      <c r="D39" s="576">
        <v>1</v>
      </c>
      <c r="E39" s="202" t="s">
        <v>159</v>
      </c>
      <c r="F39" s="203">
        <f>350000+900000</f>
        <v>1250000</v>
      </c>
      <c r="G39" s="203">
        <v>54250</v>
      </c>
      <c r="H39" s="203">
        <f>2009285-900000</f>
        <v>1109285</v>
      </c>
      <c r="I39" s="203">
        <v>0</v>
      </c>
      <c r="J39" s="204">
        <v>0</v>
      </c>
      <c r="K39" s="205">
        <f>F39+G39+H39+I39+J39</f>
        <v>2413535</v>
      </c>
    </row>
    <row r="40" spans="1:11" ht="15" customHeight="1" x14ac:dyDescent="0.3">
      <c r="A40" s="632"/>
      <c r="B40" s="584"/>
      <c r="C40" s="635"/>
      <c r="D40" s="572"/>
      <c r="E40" s="206" t="s">
        <v>160</v>
      </c>
      <c r="F40" s="215">
        <f>3269957+26283186</f>
        <v>29553143</v>
      </c>
      <c r="G40" s="215">
        <f>452108+3416814</f>
        <v>3868922</v>
      </c>
      <c r="H40" s="215">
        <f>217102+4200000</f>
        <v>4417102</v>
      </c>
      <c r="I40" s="215">
        <v>0</v>
      </c>
      <c r="J40" s="208">
        <v>0</v>
      </c>
      <c r="K40" s="209">
        <f>F40+G40+H40+I40+J40</f>
        <v>37839167</v>
      </c>
    </row>
    <row r="41" spans="1:11" ht="15" customHeight="1" thickBot="1" x14ac:dyDescent="0.35">
      <c r="A41" s="633"/>
      <c r="B41" s="585"/>
      <c r="C41" s="636"/>
      <c r="D41" s="573"/>
      <c r="E41" s="199" t="s">
        <v>156</v>
      </c>
      <c r="F41" s="200">
        <f t="shared" ref="F41:K41" si="9">SUM(F39:F40)</f>
        <v>30803143</v>
      </c>
      <c r="G41" s="200">
        <f t="shared" si="9"/>
        <v>3923172</v>
      </c>
      <c r="H41" s="200">
        <f t="shared" si="9"/>
        <v>5526387</v>
      </c>
      <c r="I41" s="200">
        <f t="shared" si="9"/>
        <v>0</v>
      </c>
      <c r="J41" s="200">
        <f t="shared" si="9"/>
        <v>0</v>
      </c>
      <c r="K41" s="201">
        <f t="shared" si="9"/>
        <v>40252702</v>
      </c>
    </row>
    <row r="42" spans="1:11" ht="15" customHeight="1" x14ac:dyDescent="0.3">
      <c r="A42" s="631" t="s">
        <v>120</v>
      </c>
      <c r="B42" s="583" t="s">
        <v>176</v>
      </c>
      <c r="C42" s="637" t="s">
        <v>177</v>
      </c>
      <c r="D42" s="576">
        <v>1</v>
      </c>
      <c r="E42" s="202" t="s">
        <v>159</v>
      </c>
      <c r="F42" s="203">
        <v>67838</v>
      </c>
      <c r="G42" s="203">
        <v>31388</v>
      </c>
      <c r="H42" s="203">
        <f>48497057-3086996-10000000-3280000</f>
        <v>32130061</v>
      </c>
      <c r="I42" s="203">
        <v>10000000</v>
      </c>
      <c r="J42" s="204">
        <v>121936754</v>
      </c>
      <c r="K42" s="205">
        <f>F42+G42+H42+I42+J42</f>
        <v>164166041</v>
      </c>
    </row>
    <row r="43" spans="1:11" ht="15" customHeight="1" x14ac:dyDescent="0.3">
      <c r="A43" s="632"/>
      <c r="B43" s="584"/>
      <c r="C43" s="638"/>
      <c r="D43" s="572"/>
      <c r="E43" s="206" t="s">
        <v>160</v>
      </c>
      <c r="F43" s="215">
        <f>2708625+2900000</f>
        <v>5608625</v>
      </c>
      <c r="G43" s="215">
        <f>378371+380000</f>
        <v>758371</v>
      </c>
      <c r="H43" s="215">
        <v>0</v>
      </c>
      <c r="I43" s="215">
        <v>0</v>
      </c>
      <c r="J43" s="208">
        <v>0</v>
      </c>
      <c r="K43" s="209">
        <f>F43+G43+H43+I43+J43</f>
        <v>6366996</v>
      </c>
    </row>
    <row r="44" spans="1:11" ht="15" customHeight="1" thickBot="1" x14ac:dyDescent="0.35">
      <c r="A44" s="633"/>
      <c r="B44" s="585"/>
      <c r="C44" s="639"/>
      <c r="D44" s="573"/>
      <c r="E44" s="199" t="s">
        <v>156</v>
      </c>
      <c r="F44" s="200">
        <f t="shared" ref="F44:K44" si="10">SUM(F42:F43)</f>
        <v>5676463</v>
      </c>
      <c r="G44" s="200">
        <f t="shared" si="10"/>
        <v>789759</v>
      </c>
      <c r="H44" s="200">
        <f t="shared" si="10"/>
        <v>32130061</v>
      </c>
      <c r="I44" s="200">
        <f t="shared" si="10"/>
        <v>10000000</v>
      </c>
      <c r="J44" s="200">
        <f t="shared" si="10"/>
        <v>121936754</v>
      </c>
      <c r="K44" s="201">
        <f t="shared" si="10"/>
        <v>170533037</v>
      </c>
    </row>
    <row r="45" spans="1:11" ht="15" customHeight="1" x14ac:dyDescent="0.3">
      <c r="A45" s="631" t="s">
        <v>122</v>
      </c>
      <c r="B45" s="583" t="s">
        <v>178</v>
      </c>
      <c r="C45" s="634" t="s">
        <v>179</v>
      </c>
      <c r="D45" s="576">
        <v>1</v>
      </c>
      <c r="E45" s="202" t="s">
        <v>159</v>
      </c>
      <c r="F45" s="203">
        <f>14524654+10000000</f>
        <v>24524654</v>
      </c>
      <c r="G45" s="203">
        <v>1838737</v>
      </c>
      <c r="H45" s="203">
        <f>513247555-27793045-10000000</f>
        <v>475454510</v>
      </c>
      <c r="I45" s="203">
        <v>0</v>
      </c>
      <c r="J45" s="204">
        <v>93683528</v>
      </c>
      <c r="K45" s="205">
        <f>F45+G45+H45+I45+J45</f>
        <v>595501429</v>
      </c>
    </row>
    <row r="46" spans="1:11" ht="15" customHeight="1" x14ac:dyDescent="0.3">
      <c r="A46" s="632"/>
      <c r="B46" s="584"/>
      <c r="C46" s="635"/>
      <c r="D46" s="572"/>
      <c r="E46" s="206" t="s">
        <v>160</v>
      </c>
      <c r="F46" s="215">
        <f>42880563+24457056</f>
        <v>67337619</v>
      </c>
      <c r="G46" s="215">
        <f>7262349+3335989</f>
        <v>10598338</v>
      </c>
      <c r="H46" s="215">
        <v>1500000</v>
      </c>
      <c r="I46" s="215">
        <v>0</v>
      </c>
      <c r="J46" s="208"/>
      <c r="K46" s="209">
        <f>F46+G46+H46+I46+J46</f>
        <v>79435957</v>
      </c>
    </row>
    <row r="47" spans="1:11" ht="15" customHeight="1" thickBot="1" x14ac:dyDescent="0.35">
      <c r="A47" s="633"/>
      <c r="B47" s="585"/>
      <c r="C47" s="636"/>
      <c r="D47" s="573"/>
      <c r="E47" s="199" t="s">
        <v>156</v>
      </c>
      <c r="F47" s="200">
        <f t="shared" ref="F47:K47" si="11">SUM(F45:F46)</f>
        <v>91862273</v>
      </c>
      <c r="G47" s="200">
        <f t="shared" si="11"/>
        <v>12437075</v>
      </c>
      <c r="H47" s="200">
        <f t="shared" si="11"/>
        <v>476954510</v>
      </c>
      <c r="I47" s="200">
        <f t="shared" si="11"/>
        <v>0</v>
      </c>
      <c r="J47" s="200">
        <f t="shared" si="11"/>
        <v>93683528</v>
      </c>
      <c r="K47" s="201">
        <f t="shared" si="11"/>
        <v>674937386</v>
      </c>
    </row>
    <row r="48" spans="1:11" ht="15" customHeight="1" x14ac:dyDescent="0.3">
      <c r="A48" s="631" t="s">
        <v>123</v>
      </c>
      <c r="B48" s="583" t="s">
        <v>180</v>
      </c>
      <c r="C48" s="634" t="s">
        <v>181</v>
      </c>
      <c r="D48" s="576">
        <v>1</v>
      </c>
      <c r="E48" s="202" t="s">
        <v>159</v>
      </c>
      <c r="F48" s="203">
        <v>80000</v>
      </c>
      <c r="G48" s="203">
        <v>0</v>
      </c>
      <c r="H48" s="203">
        <f>2866834-80000</f>
        <v>2786834</v>
      </c>
      <c r="I48" s="203">
        <v>0</v>
      </c>
      <c r="J48" s="204">
        <f>41910000+6232150</f>
        <v>48142150</v>
      </c>
      <c r="K48" s="205">
        <f>F48+G48+H48+I48+J48</f>
        <v>51008984</v>
      </c>
    </row>
    <row r="49" spans="1:11" ht="15" customHeight="1" x14ac:dyDescent="0.3">
      <c r="A49" s="632"/>
      <c r="B49" s="584"/>
      <c r="C49" s="635"/>
      <c r="D49" s="572"/>
      <c r="E49" s="206" t="s">
        <v>160</v>
      </c>
      <c r="F49" s="215">
        <f>2919414-153000</f>
        <v>2766414</v>
      </c>
      <c r="G49" s="215">
        <v>423524</v>
      </c>
      <c r="H49" s="215">
        <v>153000</v>
      </c>
      <c r="I49" s="215">
        <v>0</v>
      </c>
      <c r="J49" s="208">
        <v>0</v>
      </c>
      <c r="K49" s="209">
        <f>F49+G49+H49+I49+J49</f>
        <v>3342938</v>
      </c>
    </row>
    <row r="50" spans="1:11" ht="15" customHeight="1" thickBot="1" x14ac:dyDescent="0.35">
      <c r="A50" s="633"/>
      <c r="B50" s="585"/>
      <c r="C50" s="636"/>
      <c r="D50" s="573"/>
      <c r="E50" s="199" t="s">
        <v>156</v>
      </c>
      <c r="F50" s="200">
        <f t="shared" ref="F50:K50" si="12">SUM(F48:F49)</f>
        <v>2846414</v>
      </c>
      <c r="G50" s="200">
        <f t="shared" si="12"/>
        <v>423524</v>
      </c>
      <c r="H50" s="200">
        <f t="shared" si="12"/>
        <v>2939834</v>
      </c>
      <c r="I50" s="200">
        <f t="shared" si="12"/>
        <v>0</v>
      </c>
      <c r="J50" s="200">
        <f t="shared" si="12"/>
        <v>48142150</v>
      </c>
      <c r="K50" s="201">
        <f t="shared" si="12"/>
        <v>54351922</v>
      </c>
    </row>
    <row r="51" spans="1:11" ht="15" customHeight="1" x14ac:dyDescent="0.3">
      <c r="A51" s="631" t="s">
        <v>124</v>
      </c>
      <c r="B51" s="583" t="str">
        <f>'4.'!B26</f>
        <v>Foglalkoztatási Paktum Plusz</v>
      </c>
      <c r="C51" s="586" t="str">
        <f>'4.'!C26</f>
        <v>TOP_PLUSZ-3.1.1-21-HB1-2022-00001</v>
      </c>
      <c r="D51" s="576">
        <v>1</v>
      </c>
      <c r="E51" s="202" t="s">
        <v>159</v>
      </c>
      <c r="F51" s="203">
        <v>2000000</v>
      </c>
      <c r="G51" s="203">
        <v>500000</v>
      </c>
      <c r="H51" s="203">
        <f>64302352-2500000</f>
        <v>61802352</v>
      </c>
      <c r="I51" s="203">
        <v>0</v>
      </c>
      <c r="J51" s="204">
        <v>27483222</v>
      </c>
      <c r="K51" s="205">
        <f>F51+G51+H51+I51+J51</f>
        <v>91785574</v>
      </c>
    </row>
    <row r="52" spans="1:11" ht="15" customHeight="1" x14ac:dyDescent="0.3">
      <c r="A52" s="632"/>
      <c r="B52" s="584"/>
      <c r="C52" s="587"/>
      <c r="D52" s="572"/>
      <c r="E52" s="206" t="s">
        <v>160</v>
      </c>
      <c r="F52" s="215">
        <v>36561000</v>
      </c>
      <c r="G52" s="215">
        <v>5067930</v>
      </c>
      <c r="H52" s="215">
        <v>900000</v>
      </c>
      <c r="I52" s="215">
        <v>0</v>
      </c>
      <c r="J52" s="208">
        <v>0</v>
      </c>
      <c r="K52" s="209">
        <f>F52+G52+H52+I52+J52</f>
        <v>42528930</v>
      </c>
    </row>
    <row r="53" spans="1:11" ht="15" customHeight="1" thickBot="1" x14ac:dyDescent="0.35">
      <c r="A53" s="633"/>
      <c r="B53" s="585"/>
      <c r="C53" s="588"/>
      <c r="D53" s="573"/>
      <c r="E53" s="199" t="s">
        <v>156</v>
      </c>
      <c r="F53" s="200">
        <f t="shared" ref="F53:K53" si="13">SUM(F51:F52)</f>
        <v>38561000</v>
      </c>
      <c r="G53" s="200">
        <f t="shared" si="13"/>
        <v>5567930</v>
      </c>
      <c r="H53" s="200">
        <f t="shared" si="13"/>
        <v>62702352</v>
      </c>
      <c r="I53" s="200">
        <f t="shared" si="13"/>
        <v>0</v>
      </c>
      <c r="J53" s="200">
        <f t="shared" si="13"/>
        <v>27483222</v>
      </c>
      <c r="K53" s="201">
        <f t="shared" si="13"/>
        <v>134314504</v>
      </c>
    </row>
    <row r="54" spans="1:11" ht="15" customHeight="1" x14ac:dyDescent="0.3">
      <c r="A54" s="631" t="s">
        <v>126</v>
      </c>
      <c r="B54" s="583" t="str">
        <f>'4.'!B27</f>
        <v>Együtt, közösségben Hajdú-Biharban</v>
      </c>
      <c r="C54" s="586" t="str">
        <f>'4.'!C27</f>
        <v>TOP-5.3.2-17-HB1-2021-00002</v>
      </c>
      <c r="D54" s="576">
        <v>1</v>
      </c>
      <c r="E54" s="202" t="s">
        <v>159</v>
      </c>
      <c r="F54" s="203">
        <v>8000000</v>
      </c>
      <c r="G54" s="203">
        <v>2000000</v>
      </c>
      <c r="H54" s="203">
        <f>58346078-10000000</f>
        <v>48346078</v>
      </c>
      <c r="I54" s="203">
        <v>8441059</v>
      </c>
      <c r="J54" s="204">
        <v>10000000</v>
      </c>
      <c r="K54" s="205">
        <f>F54+G54+H54+I54+J54</f>
        <v>76787137</v>
      </c>
    </row>
    <row r="55" spans="1:11" ht="15" customHeight="1" x14ac:dyDescent="0.3">
      <c r="A55" s="632"/>
      <c r="B55" s="584"/>
      <c r="C55" s="587"/>
      <c r="D55" s="572"/>
      <c r="E55" s="206" t="s">
        <v>160</v>
      </c>
      <c r="F55" s="215">
        <v>19255408</v>
      </c>
      <c r="G55" s="215">
        <v>2668201</v>
      </c>
      <c r="H55" s="215">
        <v>1289254</v>
      </c>
      <c r="I55" s="215">
        <v>0</v>
      </c>
      <c r="J55" s="208">
        <v>0</v>
      </c>
      <c r="K55" s="209">
        <f>F55+G55+H55+I55+J55</f>
        <v>23212863</v>
      </c>
    </row>
    <row r="56" spans="1:11" ht="15" customHeight="1" thickBot="1" x14ac:dyDescent="0.35">
      <c r="A56" s="633"/>
      <c r="B56" s="585"/>
      <c r="C56" s="588"/>
      <c r="D56" s="573"/>
      <c r="E56" s="199" t="s">
        <v>156</v>
      </c>
      <c r="F56" s="200">
        <f t="shared" ref="F56:K56" si="14">SUM(F54:F55)</f>
        <v>27255408</v>
      </c>
      <c r="G56" s="200">
        <f t="shared" si="14"/>
        <v>4668201</v>
      </c>
      <c r="H56" s="200">
        <f t="shared" si="14"/>
        <v>49635332</v>
      </c>
      <c r="I56" s="200">
        <f t="shared" si="14"/>
        <v>8441059</v>
      </c>
      <c r="J56" s="200">
        <f t="shared" si="14"/>
        <v>10000000</v>
      </c>
      <c r="K56" s="201">
        <f t="shared" si="14"/>
        <v>100000000</v>
      </c>
    </row>
    <row r="57" spans="1:11" ht="15" customHeight="1" x14ac:dyDescent="0.3">
      <c r="A57" s="565" t="s">
        <v>128</v>
      </c>
      <c r="B57" s="574" t="s">
        <v>182</v>
      </c>
      <c r="C57" s="580" t="s">
        <v>183</v>
      </c>
      <c r="D57" s="576">
        <v>1</v>
      </c>
      <c r="E57" s="202" t="s">
        <v>159</v>
      </c>
      <c r="F57" s="203">
        <v>0</v>
      </c>
      <c r="G57" s="203">
        <v>0</v>
      </c>
      <c r="H57" s="203">
        <v>0</v>
      </c>
      <c r="I57" s="203">
        <v>0</v>
      </c>
      <c r="J57" s="204">
        <v>0</v>
      </c>
      <c r="K57" s="205">
        <f>F57+G57+H57+I57+J57</f>
        <v>0</v>
      </c>
    </row>
    <row r="58" spans="1:11" ht="15" customHeight="1" x14ac:dyDescent="0.3">
      <c r="A58" s="566"/>
      <c r="B58" s="568"/>
      <c r="C58" s="581"/>
      <c r="D58" s="572"/>
      <c r="E58" s="206" t="s">
        <v>160</v>
      </c>
      <c r="F58" s="215">
        <f>26512+79116</f>
        <v>105628</v>
      </c>
      <c r="G58" s="215">
        <f>4109+12263</f>
        <v>16372</v>
      </c>
      <c r="H58" s="215">
        <v>0</v>
      </c>
      <c r="I58" s="215">
        <v>0</v>
      </c>
      <c r="J58" s="208">
        <v>0</v>
      </c>
      <c r="K58" s="209">
        <f>F58+G58+H58+I58+J58</f>
        <v>122000</v>
      </c>
    </row>
    <row r="59" spans="1:11" ht="15" customHeight="1" thickBot="1" x14ac:dyDescent="0.35">
      <c r="A59" s="567"/>
      <c r="B59" s="569"/>
      <c r="C59" s="582"/>
      <c r="D59" s="573"/>
      <c r="E59" s="199" t="s">
        <v>156</v>
      </c>
      <c r="F59" s="200">
        <f t="shared" ref="F59:K59" si="15">SUM(F57:F58)</f>
        <v>105628</v>
      </c>
      <c r="G59" s="200">
        <f t="shared" si="15"/>
        <v>16372</v>
      </c>
      <c r="H59" s="200">
        <f t="shared" si="15"/>
        <v>0</v>
      </c>
      <c r="I59" s="200">
        <f t="shared" si="15"/>
        <v>0</v>
      </c>
      <c r="J59" s="200">
        <f t="shared" si="15"/>
        <v>0</v>
      </c>
      <c r="K59" s="201">
        <f t="shared" si="15"/>
        <v>122000</v>
      </c>
    </row>
    <row r="60" spans="1:11" ht="15" customHeight="1" x14ac:dyDescent="0.3">
      <c r="A60" s="565" t="s">
        <v>135</v>
      </c>
      <c r="B60" s="574" t="s">
        <v>184</v>
      </c>
      <c r="C60" s="580" t="s">
        <v>185</v>
      </c>
      <c r="D60" s="576">
        <v>1</v>
      </c>
      <c r="E60" s="202" t="s">
        <v>159</v>
      </c>
      <c r="F60" s="203">
        <v>0</v>
      </c>
      <c r="G60" s="203">
        <v>0</v>
      </c>
      <c r="H60" s="203">
        <v>0</v>
      </c>
      <c r="I60" s="203">
        <v>0</v>
      </c>
      <c r="J60" s="204">
        <v>0</v>
      </c>
      <c r="K60" s="205">
        <f>F60+G60+H60+I60+J60</f>
        <v>0</v>
      </c>
    </row>
    <row r="61" spans="1:11" ht="15" customHeight="1" x14ac:dyDescent="0.3">
      <c r="A61" s="566"/>
      <c r="B61" s="568"/>
      <c r="C61" s="581"/>
      <c r="D61" s="572"/>
      <c r="E61" s="206" t="s">
        <v>160</v>
      </c>
      <c r="F61" s="215">
        <f>107965-81453</f>
        <v>26512</v>
      </c>
      <c r="G61" s="215">
        <f>14035-9926</f>
        <v>4109</v>
      </c>
      <c r="H61" s="215">
        <v>0</v>
      </c>
      <c r="I61" s="215">
        <v>0</v>
      </c>
      <c r="J61" s="208">
        <v>0</v>
      </c>
      <c r="K61" s="209">
        <f>F61+G61+H61+I61+J61</f>
        <v>30621</v>
      </c>
    </row>
    <row r="62" spans="1:11" ht="15" customHeight="1" thickBot="1" x14ac:dyDescent="0.35">
      <c r="A62" s="567"/>
      <c r="B62" s="569"/>
      <c r="C62" s="582"/>
      <c r="D62" s="573"/>
      <c r="E62" s="199" t="s">
        <v>156</v>
      </c>
      <c r="F62" s="200">
        <f t="shared" ref="F62:K62" si="16">SUM(F60:F61)</f>
        <v>26512</v>
      </c>
      <c r="G62" s="200">
        <f t="shared" si="16"/>
        <v>4109</v>
      </c>
      <c r="H62" s="200">
        <f t="shared" si="16"/>
        <v>0</v>
      </c>
      <c r="I62" s="200">
        <f t="shared" si="16"/>
        <v>0</v>
      </c>
      <c r="J62" s="200">
        <f t="shared" si="16"/>
        <v>0</v>
      </c>
      <c r="K62" s="201">
        <f t="shared" si="16"/>
        <v>30621</v>
      </c>
    </row>
    <row r="63" spans="1:11" ht="15" customHeight="1" x14ac:dyDescent="0.3">
      <c r="A63" s="565" t="s">
        <v>136</v>
      </c>
      <c r="B63" s="574" t="s">
        <v>186</v>
      </c>
      <c r="C63" s="575" t="s">
        <v>187</v>
      </c>
      <c r="D63" s="576">
        <v>1</v>
      </c>
      <c r="E63" s="202" t="s">
        <v>159</v>
      </c>
      <c r="F63" s="203">
        <f>787402+4394238</f>
        <v>5181640</v>
      </c>
      <c r="G63" s="203">
        <v>0</v>
      </c>
      <c r="H63" s="203">
        <f>6094598-4344238</f>
        <v>1750360</v>
      </c>
      <c r="I63" s="203">
        <f>50000-50000</f>
        <v>0</v>
      </c>
      <c r="J63" s="204">
        <v>0</v>
      </c>
      <c r="K63" s="205">
        <f>F63+G63+H63+I63+J63</f>
        <v>6932000</v>
      </c>
    </row>
    <row r="64" spans="1:11" ht="15" customHeight="1" x14ac:dyDescent="0.3">
      <c r="A64" s="566"/>
      <c r="B64" s="568"/>
      <c r="C64" s="570"/>
      <c r="D64" s="572"/>
      <c r="E64" s="206" t="s">
        <v>160</v>
      </c>
      <c r="F64" s="215">
        <v>501702</v>
      </c>
      <c r="G64" s="215">
        <v>65221</v>
      </c>
      <c r="H64" s="215">
        <v>0</v>
      </c>
      <c r="I64" s="215">
        <v>0</v>
      </c>
      <c r="J64" s="208">
        <v>0</v>
      </c>
      <c r="K64" s="209">
        <f>F64+G64+H64+I64+J64</f>
        <v>566923</v>
      </c>
    </row>
    <row r="65" spans="1:11" ht="15" customHeight="1" thickBot="1" x14ac:dyDescent="0.35">
      <c r="A65" s="567"/>
      <c r="B65" s="568"/>
      <c r="C65" s="570"/>
      <c r="D65" s="572"/>
      <c r="E65" s="216" t="s">
        <v>156</v>
      </c>
      <c r="F65" s="217">
        <f t="shared" ref="F65:K65" si="17">SUM(F63:F64)</f>
        <v>5683342</v>
      </c>
      <c r="G65" s="217">
        <f t="shared" si="17"/>
        <v>65221</v>
      </c>
      <c r="H65" s="217">
        <f t="shared" si="17"/>
        <v>1750360</v>
      </c>
      <c r="I65" s="217">
        <f t="shared" si="17"/>
        <v>0</v>
      </c>
      <c r="J65" s="217">
        <f t="shared" si="17"/>
        <v>0</v>
      </c>
      <c r="K65" s="218">
        <f t="shared" si="17"/>
        <v>7498923</v>
      </c>
    </row>
    <row r="66" spans="1:11" ht="15" customHeight="1" x14ac:dyDescent="0.3">
      <c r="A66" s="565" t="s">
        <v>137</v>
      </c>
      <c r="B66" s="574" t="s">
        <v>188</v>
      </c>
      <c r="C66" s="575" t="s">
        <v>189</v>
      </c>
      <c r="D66" s="576">
        <v>1</v>
      </c>
      <c r="E66" s="202" t="s">
        <v>159</v>
      </c>
      <c r="F66" s="203">
        <f>787402+10786404</f>
        <v>11573806</v>
      </c>
      <c r="G66" s="203">
        <v>0</v>
      </c>
      <c r="H66" s="203">
        <f>14340598-10786404</f>
        <v>3554194</v>
      </c>
      <c r="I66" s="203">
        <v>0</v>
      </c>
      <c r="J66" s="204">
        <v>0</v>
      </c>
      <c r="K66" s="205">
        <f>F66+G66+H66+I66+J66</f>
        <v>15128000</v>
      </c>
    </row>
    <row r="67" spans="1:11" ht="15" customHeight="1" x14ac:dyDescent="0.3">
      <c r="A67" s="566"/>
      <c r="B67" s="568"/>
      <c r="C67" s="570"/>
      <c r="D67" s="572"/>
      <c r="E67" s="206" t="s">
        <v>160</v>
      </c>
      <c r="F67" s="215">
        <v>659537</v>
      </c>
      <c r="G67" s="215">
        <v>85740</v>
      </c>
      <c r="H67" s="215">
        <v>0</v>
      </c>
      <c r="I67" s="215">
        <v>0</v>
      </c>
      <c r="J67" s="208">
        <v>0</v>
      </c>
      <c r="K67" s="209">
        <f>F67+G67+H67+I67+J67</f>
        <v>745277</v>
      </c>
    </row>
    <row r="68" spans="1:11" ht="15" customHeight="1" thickBot="1" x14ac:dyDescent="0.35">
      <c r="A68" s="567"/>
      <c r="B68" s="569"/>
      <c r="C68" s="571"/>
      <c r="D68" s="573"/>
      <c r="E68" s="199" t="s">
        <v>156</v>
      </c>
      <c r="F68" s="200">
        <f t="shared" ref="F68:K68" si="18">SUM(F66:F67)</f>
        <v>12233343</v>
      </c>
      <c r="G68" s="200">
        <f t="shared" si="18"/>
        <v>85740</v>
      </c>
      <c r="H68" s="200">
        <f t="shared" si="18"/>
        <v>3554194</v>
      </c>
      <c r="I68" s="200">
        <f t="shared" si="18"/>
        <v>0</v>
      </c>
      <c r="J68" s="200">
        <f t="shared" si="18"/>
        <v>0</v>
      </c>
      <c r="K68" s="201">
        <f t="shared" si="18"/>
        <v>15873277</v>
      </c>
    </row>
    <row r="69" spans="1:11" ht="15" customHeight="1" x14ac:dyDescent="0.3">
      <c r="A69" s="565" t="s">
        <v>138</v>
      </c>
      <c r="B69" s="574" t="s">
        <v>190</v>
      </c>
      <c r="C69" s="575" t="s">
        <v>191</v>
      </c>
      <c r="D69" s="576">
        <v>1</v>
      </c>
      <c r="E69" s="202" t="s">
        <v>159</v>
      </c>
      <c r="F69" s="203">
        <f>787402+12162583</f>
        <v>12949985</v>
      </c>
      <c r="G69" s="203">
        <v>0</v>
      </c>
      <c r="H69" s="203">
        <f>15313998-12162583</f>
        <v>3151415</v>
      </c>
      <c r="I69" s="203">
        <v>10500000</v>
      </c>
      <c r="J69" s="204">
        <v>0</v>
      </c>
      <c r="K69" s="205">
        <f>F69+G69+H69+I69+J69</f>
        <v>26601400</v>
      </c>
    </row>
    <row r="70" spans="1:11" ht="15" customHeight="1" x14ac:dyDescent="0.3">
      <c r="A70" s="566"/>
      <c r="B70" s="568"/>
      <c r="C70" s="570"/>
      <c r="D70" s="572"/>
      <c r="E70" s="206" t="s">
        <v>160</v>
      </c>
      <c r="F70" s="215">
        <v>2977335</v>
      </c>
      <c r="G70" s="215">
        <v>387054</v>
      </c>
      <c r="H70" s="215">
        <v>0</v>
      </c>
      <c r="I70" s="215">
        <v>0</v>
      </c>
      <c r="J70" s="208">
        <v>0</v>
      </c>
      <c r="K70" s="209">
        <f>F70+G70+H70+I70+J70</f>
        <v>3364389</v>
      </c>
    </row>
    <row r="71" spans="1:11" ht="15" customHeight="1" thickBot="1" x14ac:dyDescent="0.35">
      <c r="A71" s="567"/>
      <c r="B71" s="569"/>
      <c r="C71" s="571"/>
      <c r="D71" s="573"/>
      <c r="E71" s="199" t="s">
        <v>156</v>
      </c>
      <c r="F71" s="200">
        <f t="shared" ref="F71:K71" si="19">SUM(F69:F70)</f>
        <v>15927320</v>
      </c>
      <c r="G71" s="200">
        <f t="shared" si="19"/>
        <v>387054</v>
      </c>
      <c r="H71" s="200">
        <f t="shared" si="19"/>
        <v>3151415</v>
      </c>
      <c r="I71" s="200">
        <f t="shared" si="19"/>
        <v>10500000</v>
      </c>
      <c r="J71" s="200">
        <f t="shared" si="19"/>
        <v>0</v>
      </c>
      <c r="K71" s="201">
        <f t="shared" si="19"/>
        <v>29965789</v>
      </c>
    </row>
    <row r="72" spans="1:11" ht="15" customHeight="1" x14ac:dyDescent="0.3">
      <c r="A72" s="565" t="s">
        <v>139</v>
      </c>
      <c r="B72" s="574" t="s">
        <v>192</v>
      </c>
      <c r="C72" s="575" t="s">
        <v>193</v>
      </c>
      <c r="D72" s="576">
        <v>1</v>
      </c>
      <c r="E72" s="202" t="s">
        <v>159</v>
      </c>
      <c r="F72" s="203">
        <f>787402+12854263</f>
        <v>13641665</v>
      </c>
      <c r="G72" s="203">
        <v>0</v>
      </c>
      <c r="H72" s="203">
        <f>15313998-12354263+51267</f>
        <v>3011002</v>
      </c>
      <c r="I72" s="203">
        <f>10500000-500000</f>
        <v>10000000</v>
      </c>
      <c r="J72" s="204">
        <v>0</v>
      </c>
      <c r="K72" s="205">
        <f>F72+G72+H72+I72+J72</f>
        <v>26652667</v>
      </c>
    </row>
    <row r="73" spans="1:11" ht="15" customHeight="1" x14ac:dyDescent="0.3">
      <c r="A73" s="566"/>
      <c r="B73" s="568"/>
      <c r="C73" s="570"/>
      <c r="D73" s="572"/>
      <c r="E73" s="206" t="s">
        <v>160</v>
      </c>
      <c r="F73" s="215">
        <f>2756372-51267</f>
        <v>2705105</v>
      </c>
      <c r="G73" s="215">
        <v>358328</v>
      </c>
      <c r="H73" s="215">
        <v>0</v>
      </c>
      <c r="I73" s="215">
        <v>0</v>
      </c>
      <c r="J73" s="208">
        <v>0</v>
      </c>
      <c r="K73" s="209">
        <f>F73+G73+H73+I73+J73</f>
        <v>3063433</v>
      </c>
    </row>
    <row r="74" spans="1:11" ht="15" customHeight="1" thickBot="1" x14ac:dyDescent="0.35">
      <c r="A74" s="567"/>
      <c r="B74" s="569"/>
      <c r="C74" s="571"/>
      <c r="D74" s="573"/>
      <c r="E74" s="199" t="s">
        <v>156</v>
      </c>
      <c r="F74" s="200">
        <f t="shared" ref="F74:K74" si="20">SUM(F72:F73)</f>
        <v>16346770</v>
      </c>
      <c r="G74" s="200">
        <f t="shared" si="20"/>
        <v>358328</v>
      </c>
      <c r="H74" s="200">
        <f t="shared" si="20"/>
        <v>3011002</v>
      </c>
      <c r="I74" s="200">
        <f t="shared" si="20"/>
        <v>10000000</v>
      </c>
      <c r="J74" s="200">
        <f t="shared" si="20"/>
        <v>0</v>
      </c>
      <c r="K74" s="201">
        <f t="shared" si="20"/>
        <v>29716100</v>
      </c>
    </row>
    <row r="75" spans="1:11" ht="15" customHeight="1" x14ac:dyDescent="0.3">
      <c r="A75" s="565" t="s">
        <v>140</v>
      </c>
      <c r="B75" s="568" t="s">
        <v>194</v>
      </c>
      <c r="C75" s="570" t="s">
        <v>195</v>
      </c>
      <c r="D75" s="572">
        <v>1</v>
      </c>
      <c r="E75" s="206" t="s">
        <v>159</v>
      </c>
      <c r="F75" s="203">
        <f>787402+6357852</f>
        <v>7145254</v>
      </c>
      <c r="G75" s="203">
        <v>0</v>
      </c>
      <c r="H75" s="203">
        <f>7650598-847500-4557852</f>
        <v>2245246</v>
      </c>
      <c r="I75" s="203">
        <f>4000000+847500-1800000</f>
        <v>3047500</v>
      </c>
      <c r="J75" s="204">
        <v>0</v>
      </c>
      <c r="K75" s="209">
        <f>F75+G75+H75+I75+J75</f>
        <v>12438000</v>
      </c>
    </row>
    <row r="76" spans="1:11" ht="15" customHeight="1" x14ac:dyDescent="0.3">
      <c r="A76" s="566"/>
      <c r="B76" s="568"/>
      <c r="C76" s="570"/>
      <c r="D76" s="572"/>
      <c r="E76" s="206" t="s">
        <v>160</v>
      </c>
      <c r="F76" s="215">
        <v>2066286</v>
      </c>
      <c r="G76" s="215">
        <v>268617</v>
      </c>
      <c r="H76" s="215">
        <v>0</v>
      </c>
      <c r="I76" s="215">
        <v>0</v>
      </c>
      <c r="J76" s="208">
        <v>0</v>
      </c>
      <c r="K76" s="209">
        <f>F76+G76+H76+I76+J76</f>
        <v>2334903</v>
      </c>
    </row>
    <row r="77" spans="1:11" ht="15" customHeight="1" thickBot="1" x14ac:dyDescent="0.35">
      <c r="A77" s="567"/>
      <c r="B77" s="568"/>
      <c r="C77" s="570"/>
      <c r="D77" s="572"/>
      <c r="E77" s="216" t="s">
        <v>156</v>
      </c>
      <c r="F77" s="217">
        <f t="shared" ref="F77:K77" si="21">SUM(F75:F76)</f>
        <v>9211540</v>
      </c>
      <c r="G77" s="217">
        <f t="shared" si="21"/>
        <v>268617</v>
      </c>
      <c r="H77" s="217">
        <f t="shared" si="21"/>
        <v>2245246</v>
      </c>
      <c r="I77" s="217">
        <f t="shared" si="21"/>
        <v>3047500</v>
      </c>
      <c r="J77" s="217">
        <f t="shared" si="21"/>
        <v>0</v>
      </c>
      <c r="K77" s="218">
        <f t="shared" si="21"/>
        <v>14772903</v>
      </c>
    </row>
    <row r="78" spans="1:11" s="194" customFormat="1" ht="15" customHeight="1" x14ac:dyDescent="0.3">
      <c r="A78" s="565" t="s">
        <v>141</v>
      </c>
      <c r="B78" s="574" t="s">
        <v>196</v>
      </c>
      <c r="C78" s="575" t="s">
        <v>197</v>
      </c>
      <c r="D78" s="576">
        <v>1</v>
      </c>
      <c r="E78" s="190" t="s">
        <v>159</v>
      </c>
      <c r="F78" s="191">
        <f>787402+4033505</f>
        <v>4820907</v>
      </c>
      <c r="G78" s="191">
        <v>0</v>
      </c>
      <c r="H78" s="191">
        <f>5494598-3983505</f>
        <v>1511093</v>
      </c>
      <c r="I78" s="191">
        <f>1750000+1750000-50000</f>
        <v>3450000</v>
      </c>
      <c r="J78" s="192">
        <v>0</v>
      </c>
      <c r="K78" s="193">
        <f>F78+G78+H78+I78+J78</f>
        <v>9782000</v>
      </c>
    </row>
    <row r="79" spans="1:11" ht="15" customHeight="1" x14ac:dyDescent="0.3">
      <c r="A79" s="566"/>
      <c r="B79" s="568"/>
      <c r="C79" s="570"/>
      <c r="D79" s="572"/>
      <c r="E79" s="206" t="s">
        <v>160</v>
      </c>
      <c r="F79" s="215">
        <f>1613179-4145</f>
        <v>1609034</v>
      </c>
      <c r="G79" s="215">
        <f>209713+4145</f>
        <v>213858</v>
      </c>
      <c r="H79" s="215">
        <v>0</v>
      </c>
      <c r="I79" s="215">
        <v>0</v>
      </c>
      <c r="J79" s="208">
        <v>0</v>
      </c>
      <c r="K79" s="209">
        <f>F79+G79+H79+I79+J79</f>
        <v>1822892</v>
      </c>
    </row>
    <row r="80" spans="1:11" ht="15" customHeight="1" thickBot="1" x14ac:dyDescent="0.35">
      <c r="A80" s="567"/>
      <c r="B80" s="569"/>
      <c r="C80" s="571"/>
      <c r="D80" s="573"/>
      <c r="E80" s="199" t="s">
        <v>156</v>
      </c>
      <c r="F80" s="200">
        <f t="shared" ref="F80:K80" si="22">SUM(F78:F79)</f>
        <v>6429941</v>
      </c>
      <c r="G80" s="200">
        <f t="shared" si="22"/>
        <v>213858</v>
      </c>
      <c r="H80" s="200">
        <f t="shared" si="22"/>
        <v>1511093</v>
      </c>
      <c r="I80" s="200">
        <f t="shared" si="22"/>
        <v>3450000</v>
      </c>
      <c r="J80" s="200">
        <f t="shared" si="22"/>
        <v>0</v>
      </c>
      <c r="K80" s="201">
        <f t="shared" si="22"/>
        <v>11604892</v>
      </c>
    </row>
    <row r="81" spans="1:11" s="194" customFormat="1" ht="15" customHeight="1" x14ac:dyDescent="0.3">
      <c r="A81" s="565" t="s">
        <v>198</v>
      </c>
      <c r="B81" s="568" t="s">
        <v>199</v>
      </c>
      <c r="C81" s="570" t="s">
        <v>200</v>
      </c>
      <c r="D81" s="572">
        <v>1</v>
      </c>
      <c r="E81" s="195" t="s">
        <v>159</v>
      </c>
      <c r="F81" s="191">
        <f>787402+12673808</f>
        <v>13461210</v>
      </c>
      <c r="G81" s="191">
        <v>0</v>
      </c>
      <c r="H81" s="191">
        <f>15106598-12523808</f>
        <v>2582790</v>
      </c>
      <c r="I81" s="191">
        <f>5600000-150000</f>
        <v>5450000</v>
      </c>
      <c r="J81" s="192">
        <v>0</v>
      </c>
      <c r="K81" s="198">
        <f>F81+G81+H81+I81+J81</f>
        <v>21494000</v>
      </c>
    </row>
    <row r="82" spans="1:11" ht="15" customHeight="1" x14ac:dyDescent="0.3">
      <c r="A82" s="566"/>
      <c r="B82" s="568"/>
      <c r="C82" s="570"/>
      <c r="D82" s="572"/>
      <c r="E82" s="206" t="s">
        <v>160</v>
      </c>
      <c r="F82" s="215">
        <v>854122</v>
      </c>
      <c r="G82" s="215">
        <v>111036</v>
      </c>
      <c r="H82" s="215">
        <v>0</v>
      </c>
      <c r="I82" s="215">
        <v>0</v>
      </c>
      <c r="J82" s="208">
        <v>0</v>
      </c>
      <c r="K82" s="209">
        <f>F82+G82+H82+I82+J82</f>
        <v>965158</v>
      </c>
    </row>
    <row r="83" spans="1:11" ht="15" customHeight="1" thickBot="1" x14ac:dyDescent="0.35">
      <c r="A83" s="567"/>
      <c r="B83" s="569"/>
      <c r="C83" s="571"/>
      <c r="D83" s="573"/>
      <c r="E83" s="199" t="s">
        <v>156</v>
      </c>
      <c r="F83" s="200">
        <f t="shared" ref="F83:K83" si="23">SUM(F81:F82)</f>
        <v>14315332</v>
      </c>
      <c r="G83" s="200">
        <f t="shared" si="23"/>
        <v>111036</v>
      </c>
      <c r="H83" s="200">
        <f t="shared" si="23"/>
        <v>2582790</v>
      </c>
      <c r="I83" s="200">
        <f t="shared" si="23"/>
        <v>5450000</v>
      </c>
      <c r="J83" s="200">
        <f t="shared" si="23"/>
        <v>0</v>
      </c>
      <c r="K83" s="201">
        <f t="shared" si="23"/>
        <v>22459158</v>
      </c>
    </row>
    <row r="84" spans="1:11" ht="15" customHeight="1" x14ac:dyDescent="0.3">
      <c r="A84" s="565" t="s">
        <v>201</v>
      </c>
      <c r="B84" s="574" t="s">
        <v>202</v>
      </c>
      <c r="C84" s="575" t="s">
        <v>203</v>
      </c>
      <c r="D84" s="572">
        <v>1</v>
      </c>
      <c r="E84" s="206" t="s">
        <v>159</v>
      </c>
      <c r="F84" s="203">
        <f>787402+9388184</f>
        <v>10175586</v>
      </c>
      <c r="G84" s="203">
        <v>0</v>
      </c>
      <c r="H84" s="203">
        <f>11212598-8738184</f>
        <v>2474414</v>
      </c>
      <c r="I84" s="203">
        <f>7500000-650000</f>
        <v>6850000</v>
      </c>
      <c r="J84" s="204">
        <v>0</v>
      </c>
      <c r="K84" s="209">
        <f>F84+G84+H84+I84+J84</f>
        <v>19500000</v>
      </c>
    </row>
    <row r="85" spans="1:11" ht="15" customHeight="1" x14ac:dyDescent="0.3">
      <c r="A85" s="566"/>
      <c r="B85" s="568"/>
      <c r="C85" s="570"/>
      <c r="D85" s="572"/>
      <c r="E85" s="206" t="s">
        <v>160</v>
      </c>
      <c r="F85" s="215">
        <v>2371734</v>
      </c>
      <c r="G85" s="215">
        <v>308325</v>
      </c>
      <c r="H85" s="215">
        <v>0</v>
      </c>
      <c r="I85" s="215">
        <v>0</v>
      </c>
      <c r="J85" s="208">
        <v>0</v>
      </c>
      <c r="K85" s="209">
        <f>F85+G85+H85+I85+J85</f>
        <v>2680059</v>
      </c>
    </row>
    <row r="86" spans="1:11" ht="15" customHeight="1" thickBot="1" x14ac:dyDescent="0.35">
      <c r="A86" s="567"/>
      <c r="B86" s="569"/>
      <c r="C86" s="571"/>
      <c r="D86" s="573"/>
      <c r="E86" s="199" t="s">
        <v>156</v>
      </c>
      <c r="F86" s="200">
        <f t="shared" ref="F86:K86" si="24">SUM(F84:F85)</f>
        <v>12547320</v>
      </c>
      <c r="G86" s="200">
        <f t="shared" si="24"/>
        <v>308325</v>
      </c>
      <c r="H86" s="200">
        <f t="shared" si="24"/>
        <v>2474414</v>
      </c>
      <c r="I86" s="200">
        <f t="shared" si="24"/>
        <v>6850000</v>
      </c>
      <c r="J86" s="200">
        <f t="shared" si="24"/>
        <v>0</v>
      </c>
      <c r="K86" s="201">
        <f t="shared" si="24"/>
        <v>22180059</v>
      </c>
    </row>
    <row r="87" spans="1:11" ht="15" customHeight="1" x14ac:dyDescent="0.3">
      <c r="A87" s="622" t="s">
        <v>204</v>
      </c>
      <c r="B87" s="623"/>
      <c r="C87" s="623"/>
      <c r="D87" s="624"/>
      <c r="E87" s="219" t="s">
        <v>159</v>
      </c>
      <c r="F87" s="220">
        <f>F12+F15+F18+F21+F24+F27+F30+F33+F36+F39+F42+F45+F48+F51+F54+F57+F60+F63+F66+F69+F72+F75+F78+F81+F84</f>
        <v>126451053</v>
      </c>
      <c r="G87" s="220">
        <f t="shared" ref="G87:K88" si="25">G12+G15+G18+G21+G24+G27+G30+G33+G36+G39+G42+G45+G48+G51+G54+G57+G60+G63+G66+G69+G72+G75+G78+G81+G84</f>
        <v>6524912</v>
      </c>
      <c r="H87" s="220">
        <f t="shared" si="25"/>
        <v>658603524</v>
      </c>
      <c r="I87" s="220">
        <f t="shared" si="25"/>
        <v>61981141</v>
      </c>
      <c r="J87" s="220">
        <f t="shared" si="25"/>
        <v>304650654</v>
      </c>
      <c r="K87" s="221">
        <f t="shared" si="25"/>
        <v>1158211284</v>
      </c>
    </row>
    <row r="88" spans="1:11" ht="15" customHeight="1" x14ac:dyDescent="0.3">
      <c r="A88" s="625"/>
      <c r="B88" s="626"/>
      <c r="C88" s="626"/>
      <c r="D88" s="627"/>
      <c r="E88" s="222" t="s">
        <v>160</v>
      </c>
      <c r="F88" s="223">
        <f>F13+F16+F19+F22+F25+F28+F31+F34+F37+F40+F43+F46+F49+F52+F55+F58+F61+F64+F67+F70+F73+F76+F79+F82+F85</f>
        <v>219243874</v>
      </c>
      <c r="G88" s="223">
        <f t="shared" si="25"/>
        <v>31198328</v>
      </c>
      <c r="H88" s="223">
        <f t="shared" si="25"/>
        <v>9031093</v>
      </c>
      <c r="I88" s="223">
        <f t="shared" si="25"/>
        <v>0</v>
      </c>
      <c r="J88" s="223">
        <f t="shared" si="25"/>
        <v>0</v>
      </c>
      <c r="K88" s="224">
        <f t="shared" si="25"/>
        <v>259473295</v>
      </c>
    </row>
    <row r="89" spans="1:11" ht="15" customHeight="1" thickBot="1" x14ac:dyDescent="0.35">
      <c r="A89" s="628"/>
      <c r="B89" s="629"/>
      <c r="C89" s="629"/>
      <c r="D89" s="630"/>
      <c r="E89" s="225" t="s">
        <v>156</v>
      </c>
      <c r="F89" s="226">
        <f t="shared" ref="F89:K89" si="26">SUM(F87:F88)</f>
        <v>345694927</v>
      </c>
      <c r="G89" s="226">
        <f t="shared" si="26"/>
        <v>37723240</v>
      </c>
      <c r="H89" s="226">
        <f t="shared" si="26"/>
        <v>667634617</v>
      </c>
      <c r="I89" s="226">
        <f t="shared" si="26"/>
        <v>61981141</v>
      </c>
      <c r="J89" s="226">
        <f t="shared" si="26"/>
        <v>304650654</v>
      </c>
      <c r="K89" s="227">
        <f t="shared" si="26"/>
        <v>1417684579</v>
      </c>
    </row>
    <row r="90" spans="1:11" ht="15" customHeight="1" x14ac:dyDescent="0.3">
      <c r="A90" s="564"/>
      <c r="B90" s="564"/>
      <c r="C90" s="564"/>
      <c r="D90" s="564"/>
      <c r="E90" s="564"/>
      <c r="F90" s="564"/>
      <c r="G90" s="564"/>
    </row>
    <row r="91" spans="1:11" x14ac:dyDescent="0.3">
      <c r="K91" s="228"/>
    </row>
    <row r="92" spans="1:11" ht="15.9" customHeight="1" x14ac:dyDescent="0.6">
      <c r="A92" s="229"/>
    </row>
  </sheetData>
  <mergeCells count="117">
    <mergeCell ref="E1:K1"/>
    <mergeCell ref="E2:K2"/>
    <mergeCell ref="A4:K4"/>
    <mergeCell ref="A5:K5"/>
    <mergeCell ref="A6:K6"/>
    <mergeCell ref="A7:K7"/>
    <mergeCell ref="A12:A14"/>
    <mergeCell ref="B12:B14"/>
    <mergeCell ref="C12:C14"/>
    <mergeCell ref="D12:D14"/>
    <mergeCell ref="A15:A17"/>
    <mergeCell ref="B15:B17"/>
    <mergeCell ref="C15:C17"/>
    <mergeCell ref="D15:D17"/>
    <mergeCell ref="J8:K8"/>
    <mergeCell ref="A9:A11"/>
    <mergeCell ref="B9:D9"/>
    <mergeCell ref="E9:K9"/>
    <mergeCell ref="B10:B11"/>
    <mergeCell ref="C10:C11"/>
    <mergeCell ref="D10:D11"/>
    <mergeCell ref="E10:E11"/>
    <mergeCell ref="F10:K10"/>
    <mergeCell ref="A24:A26"/>
    <mergeCell ref="B24:B26"/>
    <mergeCell ref="C24:C26"/>
    <mergeCell ref="D24:D26"/>
    <mergeCell ref="A27:A29"/>
    <mergeCell ref="B27:B29"/>
    <mergeCell ref="C27:C29"/>
    <mergeCell ref="D27:D29"/>
    <mergeCell ref="A18:A20"/>
    <mergeCell ref="B18:B20"/>
    <mergeCell ref="C18:C20"/>
    <mergeCell ref="D18:D20"/>
    <mergeCell ref="A21:A23"/>
    <mergeCell ref="B21:B23"/>
    <mergeCell ref="C21:C23"/>
    <mergeCell ref="D21:D23"/>
    <mergeCell ref="A36:A38"/>
    <mergeCell ref="B36:B38"/>
    <mergeCell ref="C36:C38"/>
    <mergeCell ref="D36:D38"/>
    <mergeCell ref="A39:A41"/>
    <mergeCell ref="B39:B41"/>
    <mergeCell ref="C39:C41"/>
    <mergeCell ref="D39:D41"/>
    <mergeCell ref="A30:A32"/>
    <mergeCell ref="B30:B32"/>
    <mergeCell ref="C30:C32"/>
    <mergeCell ref="D30:D32"/>
    <mergeCell ref="A33:A35"/>
    <mergeCell ref="B33:B35"/>
    <mergeCell ref="C33:C35"/>
    <mergeCell ref="D33:D35"/>
    <mergeCell ref="A48:A50"/>
    <mergeCell ref="B48:B50"/>
    <mergeCell ref="C48:C50"/>
    <mergeCell ref="D48:D50"/>
    <mergeCell ref="A51:A53"/>
    <mergeCell ref="B51:B53"/>
    <mergeCell ref="C51:C53"/>
    <mergeCell ref="D51:D53"/>
    <mergeCell ref="A42:A44"/>
    <mergeCell ref="B42:B44"/>
    <mergeCell ref="C42:C44"/>
    <mergeCell ref="D42:D44"/>
    <mergeCell ref="A45:A47"/>
    <mergeCell ref="B45:B47"/>
    <mergeCell ref="C45:C47"/>
    <mergeCell ref="D45:D47"/>
    <mergeCell ref="A60:A62"/>
    <mergeCell ref="B60:B62"/>
    <mergeCell ref="C60:C62"/>
    <mergeCell ref="D60:D62"/>
    <mergeCell ref="A63:A65"/>
    <mergeCell ref="B63:B65"/>
    <mergeCell ref="C63:C65"/>
    <mergeCell ref="D63:D65"/>
    <mergeCell ref="A54:A56"/>
    <mergeCell ref="B54:B56"/>
    <mergeCell ref="C54:C56"/>
    <mergeCell ref="D54:D56"/>
    <mergeCell ref="A57:A59"/>
    <mergeCell ref="B57:B59"/>
    <mergeCell ref="C57:C59"/>
    <mergeCell ref="D57:D59"/>
    <mergeCell ref="A72:A74"/>
    <mergeCell ref="B72:B74"/>
    <mergeCell ref="C72:C74"/>
    <mergeCell ref="D72:D74"/>
    <mergeCell ref="A75:A77"/>
    <mergeCell ref="B75:B77"/>
    <mergeCell ref="C75:C77"/>
    <mergeCell ref="D75:D77"/>
    <mergeCell ref="A66:A68"/>
    <mergeCell ref="B66:B68"/>
    <mergeCell ref="C66:C68"/>
    <mergeCell ref="D66:D68"/>
    <mergeCell ref="A69:A71"/>
    <mergeCell ref="B69:B71"/>
    <mergeCell ref="C69:C71"/>
    <mergeCell ref="D69:D71"/>
    <mergeCell ref="A84:A86"/>
    <mergeCell ref="B84:B86"/>
    <mergeCell ref="C84:C86"/>
    <mergeCell ref="D84:D86"/>
    <mergeCell ref="A87:D89"/>
    <mergeCell ref="A90:G90"/>
    <mergeCell ref="A78:A80"/>
    <mergeCell ref="B78:B80"/>
    <mergeCell ref="C78:C80"/>
    <mergeCell ref="D78:D80"/>
    <mergeCell ref="A81:A83"/>
    <mergeCell ref="B81:B83"/>
    <mergeCell ref="C81:C83"/>
    <mergeCell ref="D81:D83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5" orientation="landscape" horizontalDpi="300" verticalDpi="300" r:id="rId1"/>
  <rowBreaks count="1" manualBreakCount="1">
    <brk id="4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E40C1-3E65-45E0-8BAC-46FCE4037F7B}">
  <sheetPr>
    <tabColor theme="7" tint="0.59999389629810485"/>
  </sheetPr>
  <dimension ref="A1:F36"/>
  <sheetViews>
    <sheetView tabSelected="1" topLeftCell="A10" zoomScaleNormal="100" workbookViewId="0">
      <selection activeCell="M9" sqref="M9"/>
    </sheetView>
  </sheetViews>
  <sheetFormatPr defaultRowHeight="13.2" x14ac:dyDescent="0.25"/>
  <cols>
    <col min="1" max="1" width="6.44140625" customWidth="1"/>
    <col min="2" max="2" width="116.88671875" customWidth="1"/>
    <col min="3" max="4" width="12.6640625" style="176" customWidth="1"/>
    <col min="5" max="6" width="12.6640625" customWidth="1"/>
  </cols>
  <sheetData>
    <row r="1" spans="1:6" ht="13.8" x14ac:dyDescent="0.25">
      <c r="A1" s="434" t="s">
        <v>242</v>
      </c>
      <c r="B1" s="434"/>
      <c r="C1" s="434"/>
      <c r="D1" s="434"/>
      <c r="E1" s="434"/>
      <c r="F1" s="434"/>
    </row>
    <row r="2" spans="1:6" ht="13.8" x14ac:dyDescent="0.25">
      <c r="A2" s="434" t="s">
        <v>99</v>
      </c>
      <c r="B2" s="434"/>
      <c r="C2" s="434"/>
      <c r="D2" s="434"/>
      <c r="E2" s="434"/>
      <c r="F2" s="434"/>
    </row>
    <row r="3" spans="1:6" x14ac:dyDescent="0.25">
      <c r="A3" s="653"/>
      <c r="B3" s="653"/>
      <c r="C3" s="653"/>
      <c r="D3" s="144"/>
    </row>
    <row r="4" spans="1:6" ht="15.6" x14ac:dyDescent="0.3">
      <c r="A4" s="525" t="s">
        <v>248</v>
      </c>
      <c r="B4" s="525"/>
      <c r="C4" s="525"/>
      <c r="D4" s="525"/>
      <c r="E4" s="525"/>
      <c r="F4" s="525"/>
    </row>
    <row r="5" spans="1:6" ht="15.6" x14ac:dyDescent="0.3">
      <c r="A5" s="525" t="s">
        <v>100</v>
      </c>
      <c r="B5" s="525"/>
      <c r="C5" s="525"/>
      <c r="D5" s="525"/>
      <c r="E5" s="525"/>
      <c r="F5" s="525"/>
    </row>
    <row r="6" spans="1:6" ht="15.6" x14ac:dyDescent="0.3">
      <c r="A6" s="525" t="s">
        <v>97</v>
      </c>
      <c r="B6" s="525"/>
      <c r="C6" s="525"/>
      <c r="D6" s="525"/>
      <c r="E6" s="525"/>
      <c r="F6" s="525"/>
    </row>
    <row r="7" spans="1:6" ht="15.6" x14ac:dyDescent="0.3">
      <c r="A7" s="425" t="s">
        <v>243</v>
      </c>
      <c r="B7" s="425"/>
      <c r="C7" s="425"/>
      <c r="D7" s="425"/>
      <c r="E7" s="425"/>
      <c r="F7" s="425"/>
    </row>
    <row r="8" spans="1:6" ht="16.2" thickBot="1" x14ac:dyDescent="0.35">
      <c r="A8" s="543"/>
      <c r="B8" s="543"/>
      <c r="C8" s="543"/>
      <c r="D8" s="145"/>
      <c r="F8" s="8" t="s">
        <v>101</v>
      </c>
    </row>
    <row r="9" spans="1:6" ht="49.2" thickBot="1" x14ac:dyDescent="0.3">
      <c r="A9" s="146" t="s">
        <v>102</v>
      </c>
      <c r="B9" s="147" t="s">
        <v>103</v>
      </c>
      <c r="C9" s="148" t="s">
        <v>28</v>
      </c>
      <c r="D9" s="149" t="s">
        <v>104</v>
      </c>
      <c r="E9" s="150" t="s">
        <v>88</v>
      </c>
      <c r="F9" s="151" t="s">
        <v>104</v>
      </c>
    </row>
    <row r="10" spans="1:6" ht="18" customHeight="1" x14ac:dyDescent="0.25">
      <c r="A10" s="647" t="s">
        <v>105</v>
      </c>
      <c r="B10" s="648"/>
      <c r="C10" s="648"/>
      <c r="D10" s="648"/>
      <c r="E10" s="648"/>
      <c r="F10" s="649"/>
    </row>
    <row r="11" spans="1:6" ht="18" customHeight="1" x14ac:dyDescent="0.25">
      <c r="A11" s="152" t="s">
        <v>1</v>
      </c>
      <c r="B11" s="153" t="s">
        <v>106</v>
      </c>
      <c r="C11" s="154">
        <v>3175000</v>
      </c>
      <c r="D11" s="155">
        <v>3175000</v>
      </c>
      <c r="E11" s="156">
        <v>0</v>
      </c>
      <c r="F11" s="157">
        <f>D11+E11</f>
        <v>3175000</v>
      </c>
    </row>
    <row r="12" spans="1:6" s="163" customFormat="1" ht="18" customHeight="1" x14ac:dyDescent="0.25">
      <c r="A12" s="158" t="s">
        <v>2</v>
      </c>
      <c r="B12" s="159" t="s">
        <v>107</v>
      </c>
      <c r="C12" s="160">
        <v>40424100</v>
      </c>
      <c r="D12" s="161">
        <v>40424100</v>
      </c>
      <c r="E12" s="162">
        <v>0</v>
      </c>
      <c r="F12" s="157">
        <f t="shared" ref="F12:F28" si="0">D12+E12</f>
        <v>40424100</v>
      </c>
    </row>
    <row r="13" spans="1:6" ht="18" customHeight="1" x14ac:dyDescent="0.25">
      <c r="A13" s="158" t="s">
        <v>4</v>
      </c>
      <c r="B13" s="159" t="s">
        <v>245</v>
      </c>
      <c r="C13" s="160">
        <v>7200000</v>
      </c>
      <c r="D13" s="161">
        <v>7200000</v>
      </c>
      <c r="E13" s="162">
        <v>30087200</v>
      </c>
      <c r="F13" s="157">
        <f t="shared" si="0"/>
        <v>37287200</v>
      </c>
    </row>
    <row r="14" spans="1:6" s="163" customFormat="1" ht="29.4" customHeight="1" x14ac:dyDescent="0.25">
      <c r="A14" s="158" t="s">
        <v>108</v>
      </c>
      <c r="B14" s="159" t="s">
        <v>109</v>
      </c>
      <c r="C14" s="160">
        <v>81445000</v>
      </c>
      <c r="D14" s="161">
        <v>81445000</v>
      </c>
      <c r="E14" s="162">
        <v>0</v>
      </c>
      <c r="F14" s="157">
        <f t="shared" si="0"/>
        <v>81445000</v>
      </c>
    </row>
    <row r="15" spans="1:6" s="163" customFormat="1" ht="18" customHeight="1" x14ac:dyDescent="0.25">
      <c r="A15" s="158" t="s">
        <v>110</v>
      </c>
      <c r="B15" s="159" t="s">
        <v>244</v>
      </c>
      <c r="C15" s="160">
        <v>37812054</v>
      </c>
      <c r="D15" s="161">
        <v>37812054</v>
      </c>
      <c r="E15" s="162">
        <v>-5102054</v>
      </c>
      <c r="F15" s="157">
        <f t="shared" si="0"/>
        <v>32710000</v>
      </c>
    </row>
    <row r="16" spans="1:6" ht="18" customHeight="1" x14ac:dyDescent="0.25">
      <c r="A16" s="158" t="s">
        <v>111</v>
      </c>
      <c r="B16" s="159" t="s">
        <v>112</v>
      </c>
      <c r="C16" s="164">
        <v>2679700</v>
      </c>
      <c r="D16" s="165">
        <v>2679700</v>
      </c>
      <c r="E16" s="162">
        <v>-712946</v>
      </c>
      <c r="F16" s="157">
        <f t="shared" si="0"/>
        <v>1966754</v>
      </c>
    </row>
    <row r="17" spans="1:6" ht="18" customHeight="1" x14ac:dyDescent="0.25">
      <c r="A17" s="158" t="s">
        <v>113</v>
      </c>
      <c r="B17" s="159" t="s">
        <v>246</v>
      </c>
      <c r="C17" s="164">
        <v>0</v>
      </c>
      <c r="D17" s="165">
        <v>0</v>
      </c>
      <c r="E17" s="162">
        <v>5815000</v>
      </c>
      <c r="F17" s="157">
        <f t="shared" si="0"/>
        <v>5815000</v>
      </c>
    </row>
    <row r="18" spans="1:6" ht="18" customHeight="1" x14ac:dyDescent="0.25">
      <c r="A18" s="158" t="s">
        <v>115</v>
      </c>
      <c r="B18" s="159" t="s">
        <v>114</v>
      </c>
      <c r="C18" s="164">
        <v>83650528</v>
      </c>
      <c r="D18" s="165">
        <v>83650528</v>
      </c>
      <c r="E18" s="162">
        <v>-1250000</v>
      </c>
      <c r="F18" s="157">
        <f t="shared" si="0"/>
        <v>82400528</v>
      </c>
    </row>
    <row r="19" spans="1:6" s="163" customFormat="1" ht="18" customHeight="1" x14ac:dyDescent="0.25">
      <c r="A19" s="158" t="s">
        <v>117</v>
      </c>
      <c r="B19" s="159" t="s">
        <v>116</v>
      </c>
      <c r="C19" s="160">
        <v>10033000</v>
      </c>
      <c r="D19" s="165">
        <v>10033000</v>
      </c>
      <c r="E19" s="166">
        <v>0</v>
      </c>
      <c r="F19" s="157">
        <f>D19+E19</f>
        <v>10033000</v>
      </c>
    </row>
    <row r="20" spans="1:6" ht="18" customHeight="1" x14ac:dyDescent="0.25">
      <c r="A20" s="158" t="s">
        <v>118</v>
      </c>
      <c r="B20" s="159" t="s">
        <v>247</v>
      </c>
      <c r="C20" s="164"/>
      <c r="D20" s="165"/>
      <c r="E20" s="162">
        <v>1250000</v>
      </c>
      <c r="F20" s="157">
        <f>D20+E20</f>
        <v>1250000</v>
      </c>
    </row>
    <row r="21" spans="1:6" s="163" customFormat="1" ht="18" customHeight="1" x14ac:dyDescent="0.25">
      <c r="A21" s="158" t="s">
        <v>120</v>
      </c>
      <c r="B21" s="159" t="s">
        <v>235</v>
      </c>
      <c r="C21" s="164">
        <v>41910000</v>
      </c>
      <c r="D21" s="165">
        <v>41910000</v>
      </c>
      <c r="E21" s="166">
        <v>-25273000</v>
      </c>
      <c r="F21" s="157">
        <f t="shared" si="0"/>
        <v>16637000</v>
      </c>
    </row>
    <row r="22" spans="1:6" s="163" customFormat="1" ht="18" customHeight="1" x14ac:dyDescent="0.25">
      <c r="A22" s="158" t="s">
        <v>122</v>
      </c>
      <c r="B22" s="167" t="s">
        <v>119</v>
      </c>
      <c r="C22" s="164">
        <v>6500000</v>
      </c>
      <c r="D22" s="165">
        <v>6500000</v>
      </c>
      <c r="E22" s="166">
        <v>0</v>
      </c>
      <c r="F22" s="157">
        <f t="shared" si="0"/>
        <v>6500000</v>
      </c>
    </row>
    <row r="23" spans="1:6" s="168" customFormat="1" ht="18" customHeight="1" x14ac:dyDescent="0.25">
      <c r="A23" s="158" t="s">
        <v>123</v>
      </c>
      <c r="B23" s="167" t="s">
        <v>121</v>
      </c>
      <c r="C23" s="164">
        <v>3094743</v>
      </c>
      <c r="D23" s="165">
        <v>3092000</v>
      </c>
      <c r="E23" s="166">
        <v>0</v>
      </c>
      <c r="F23" s="157">
        <f t="shared" si="0"/>
        <v>3092000</v>
      </c>
    </row>
    <row r="24" spans="1:6" s="168" customFormat="1" ht="18" customHeight="1" x14ac:dyDescent="0.25">
      <c r="A24" s="158" t="s">
        <v>124</v>
      </c>
      <c r="B24" s="167" t="s">
        <v>234</v>
      </c>
      <c r="C24" s="160">
        <v>2000000</v>
      </c>
      <c r="D24" s="165">
        <v>2905000</v>
      </c>
      <c r="E24" s="166">
        <v>0</v>
      </c>
      <c r="F24" s="157">
        <f t="shared" si="0"/>
        <v>2905000</v>
      </c>
    </row>
    <row r="25" spans="1:6" s="168" customFormat="1" ht="18" customHeight="1" x14ac:dyDescent="0.25">
      <c r="A25" s="158" t="s">
        <v>126</v>
      </c>
      <c r="B25" s="167" t="s">
        <v>233</v>
      </c>
      <c r="C25" s="160">
        <v>0</v>
      </c>
      <c r="D25" s="165">
        <v>6350000</v>
      </c>
      <c r="E25" s="166">
        <v>0</v>
      </c>
      <c r="F25" s="157">
        <f t="shared" si="0"/>
        <v>6350000</v>
      </c>
    </row>
    <row r="26" spans="1:6" s="168" customFormat="1" ht="18" customHeight="1" x14ac:dyDescent="0.25">
      <c r="A26" s="158" t="s">
        <v>128</v>
      </c>
      <c r="B26" s="167" t="s">
        <v>125</v>
      </c>
      <c r="C26" s="160">
        <v>0</v>
      </c>
      <c r="D26" s="165">
        <v>27483222</v>
      </c>
      <c r="E26" s="166">
        <v>0</v>
      </c>
      <c r="F26" s="157">
        <f t="shared" si="0"/>
        <v>27483222</v>
      </c>
    </row>
    <row r="27" spans="1:6" s="168" customFormat="1" ht="18" customHeight="1" x14ac:dyDescent="0.25">
      <c r="A27" s="158" t="s">
        <v>135</v>
      </c>
      <c r="B27" s="167" t="s">
        <v>127</v>
      </c>
      <c r="C27" s="160">
        <v>0</v>
      </c>
      <c r="D27" s="165">
        <v>10000000</v>
      </c>
      <c r="E27" s="166">
        <v>0</v>
      </c>
      <c r="F27" s="157">
        <f t="shared" si="0"/>
        <v>10000000</v>
      </c>
    </row>
    <row r="28" spans="1:6" s="168" customFormat="1" ht="18" customHeight="1" x14ac:dyDescent="0.25">
      <c r="A28" s="158" t="s">
        <v>136</v>
      </c>
      <c r="B28" s="167" t="s">
        <v>129</v>
      </c>
      <c r="C28" s="160">
        <v>0</v>
      </c>
      <c r="D28" s="165">
        <v>500000</v>
      </c>
      <c r="E28" s="166">
        <v>0</v>
      </c>
      <c r="F28" s="157">
        <f t="shared" si="0"/>
        <v>500000</v>
      </c>
    </row>
    <row r="29" spans="1:6" s="168" customFormat="1" ht="18" customHeight="1" thickBot="1" x14ac:dyDescent="0.3">
      <c r="A29" s="645" t="s">
        <v>130</v>
      </c>
      <c r="B29" s="646"/>
      <c r="C29" s="169">
        <f>SUM(C11:C28)</f>
        <v>319924125</v>
      </c>
      <c r="D29" s="169">
        <f>SUM(D11:D28)</f>
        <v>365159604</v>
      </c>
      <c r="E29" s="169">
        <f>SUM(E11:E28)</f>
        <v>4814200</v>
      </c>
      <c r="F29" s="170">
        <f>SUM(F11:F28)</f>
        <v>369973804</v>
      </c>
    </row>
    <row r="30" spans="1:6" ht="18" customHeight="1" thickBot="1" x14ac:dyDescent="0.3">
      <c r="A30" s="650" t="s">
        <v>131</v>
      </c>
      <c r="B30" s="651"/>
      <c r="C30" s="651"/>
      <c r="D30" s="651"/>
      <c r="E30" s="651"/>
      <c r="F30" s="652"/>
    </row>
    <row r="31" spans="1:6" ht="18" customHeight="1" x14ac:dyDescent="0.25">
      <c r="A31" s="171" t="s">
        <v>1</v>
      </c>
      <c r="B31" s="172" t="s">
        <v>132</v>
      </c>
      <c r="C31" s="173">
        <v>635000</v>
      </c>
      <c r="D31" s="174">
        <v>635000</v>
      </c>
      <c r="E31" s="175">
        <v>0</v>
      </c>
      <c r="F31" s="157">
        <f>D31+E31</f>
        <v>635000</v>
      </c>
    </row>
    <row r="32" spans="1:6" s="168" customFormat="1" ht="18" customHeight="1" thickBot="1" x14ac:dyDescent="0.3">
      <c r="A32" s="645" t="s">
        <v>133</v>
      </c>
      <c r="B32" s="646"/>
      <c r="C32" s="169">
        <f>SUM(C31:C31)</f>
        <v>635000</v>
      </c>
      <c r="D32" s="169">
        <f>SUM(D31:D31)</f>
        <v>635000</v>
      </c>
      <c r="E32" s="169">
        <f>SUM(E31:E31)</f>
        <v>0</v>
      </c>
      <c r="F32" s="170">
        <f>SUM(F31:F31)</f>
        <v>635000</v>
      </c>
    </row>
    <row r="33" spans="1:6" ht="18" customHeight="1" thickBot="1" x14ac:dyDescent="0.3">
      <c r="A33" s="645" t="s">
        <v>134</v>
      </c>
      <c r="B33" s="646"/>
      <c r="C33" s="169">
        <f>C29+C32</f>
        <v>320559125</v>
      </c>
      <c r="D33" s="169">
        <f>D29+D32</f>
        <v>365794604</v>
      </c>
      <c r="E33" s="169">
        <f>E29+E32</f>
        <v>4814200</v>
      </c>
      <c r="F33" s="170">
        <f>F29+F32</f>
        <v>370608804</v>
      </c>
    </row>
    <row r="34" spans="1:6" ht="18" customHeight="1" x14ac:dyDescent="0.25">
      <c r="A34" s="3"/>
      <c r="B34" s="3"/>
    </row>
    <row r="35" spans="1:6" ht="21.9" customHeight="1" x14ac:dyDescent="0.25"/>
    <row r="36" spans="1:6" x14ac:dyDescent="0.25">
      <c r="F36" s="176"/>
    </row>
  </sheetData>
  <mergeCells count="13">
    <mergeCell ref="A6:F6"/>
    <mergeCell ref="A1:F1"/>
    <mergeCell ref="A2:F2"/>
    <mergeCell ref="A3:C3"/>
    <mergeCell ref="A4:F4"/>
    <mergeCell ref="A5:F5"/>
    <mergeCell ref="A33:B33"/>
    <mergeCell ref="A7:F7"/>
    <mergeCell ref="A8:C8"/>
    <mergeCell ref="A10:F10"/>
    <mergeCell ref="A29:B29"/>
    <mergeCell ref="A30:F30"/>
    <mergeCell ref="A32:B32"/>
  </mergeCells>
  <phoneticPr fontId="32" type="noConversion"/>
  <pageMargins left="0.11811023622047245" right="0.11811023622047245" top="0.15748031496062992" bottom="0.15748031496062992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9</vt:i4>
      </vt:variant>
    </vt:vector>
  </HeadingPairs>
  <TitlesOfParts>
    <vt:vector size="16" baseType="lpstr">
      <vt:lpstr>1.</vt:lpstr>
      <vt:lpstr>2.</vt:lpstr>
      <vt:lpstr>3.</vt:lpstr>
      <vt:lpstr>4.</vt:lpstr>
      <vt:lpstr>5.</vt:lpstr>
      <vt:lpstr>6.</vt:lpstr>
      <vt:lpstr>7.</vt:lpstr>
      <vt:lpstr>'1.'!Nyomtatási_cím</vt:lpstr>
      <vt:lpstr>'2.'!Nyomtatási_cím</vt:lpstr>
      <vt:lpstr>'3.'!Nyomtatási_cím</vt:lpstr>
      <vt:lpstr>'1.'!Nyomtatási_terület</vt:lpstr>
      <vt:lpstr>'2.'!Nyomtatási_terület</vt:lpstr>
      <vt:lpstr>'3.'!Nyomtatási_terület</vt:lpstr>
      <vt:lpstr>'4.'!Nyomtatási_terület</vt:lpstr>
      <vt:lpstr>'5.'!Nyomtatási_terület</vt:lpstr>
      <vt:lpstr>'6.'!Nyomtatási_terület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Pénzügyi csoport</dc:creator>
  <cp:lastModifiedBy>CzarEszter</cp:lastModifiedBy>
  <cp:lastPrinted>2023-03-24T16:39:45Z</cp:lastPrinted>
  <dcterms:created xsi:type="dcterms:W3CDTF">2007-02-22T10:27:43Z</dcterms:created>
  <dcterms:modified xsi:type="dcterms:W3CDTF">2023-03-24T16:40:05Z</dcterms:modified>
</cp:coreProperties>
</file>