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2023\04_május 26\Előterjesztések\"/>
    </mc:Choice>
  </mc:AlternateContent>
  <xr:revisionPtr revIDLastSave="0" documentId="13_ncr:1_{CDF71362-0A74-4494-AD61-7C482429F69E}" xr6:coauthVersionLast="47" xr6:coauthVersionMax="47" xr10:uidLastSave="{00000000-0000-0000-0000-000000000000}"/>
  <bookViews>
    <workbookView xWindow="-120" yWindow="-120" windowWidth="29040" windowHeight="15840" tabRatio="841" activeTab="9" xr2:uid="{00000000-000D-0000-FFFF-FFFF00000000}"/>
  </bookViews>
  <sheets>
    <sheet name="1." sheetId="39" r:id="rId1"/>
    <sheet name="2." sheetId="53" r:id="rId2"/>
    <sheet name="3." sheetId="54" r:id="rId3"/>
    <sheet name="4." sheetId="87" r:id="rId4"/>
    <sheet name="5." sheetId="88" r:id="rId5"/>
    <sheet name="6." sheetId="86" r:id="rId6"/>
    <sheet name="7." sheetId="64" r:id="rId7"/>
    <sheet name="8." sheetId="63" r:id="rId8"/>
    <sheet name="9." sheetId="55" r:id="rId9"/>
    <sheet name="10." sheetId="79" r:id="rId10"/>
  </sheets>
  <definedNames>
    <definedName name="_xlnm.Print_Titles" localSheetId="0">'1.'!$1:$10</definedName>
    <definedName name="_xlnm.Print_Titles" localSheetId="9">'10.'!$7:$9</definedName>
    <definedName name="_xlnm.Print_Titles" localSheetId="1">'2.'!$1:$10</definedName>
    <definedName name="_xlnm.Print_Titles" localSheetId="2">'3.'!$1:$10</definedName>
    <definedName name="_xlnm.Print_Titles" localSheetId="3">'4.'!$1:$5</definedName>
    <definedName name="_xlnm.Print_Titles" localSheetId="4">'5.'!$1:$6</definedName>
    <definedName name="_xlnm.Print_Titles" localSheetId="5">'6.'!$1:$6</definedName>
    <definedName name="_xlnm.Print_Titles" localSheetId="6">'7.'!$8:$10</definedName>
    <definedName name="_xlnm.Print_Titles" localSheetId="7">'8.'!$1:$10</definedName>
    <definedName name="_xlnm.Print_Area" localSheetId="0">'1.'!$A$1:$P$70</definedName>
    <definedName name="_xlnm.Print_Area" localSheetId="9">'10.'!$A$1:$L$166</definedName>
    <definedName name="_xlnm.Print_Area" localSheetId="1">'2.'!$A$1:$P$70</definedName>
    <definedName name="_xlnm.Print_Area" localSheetId="2">'3.'!$A$1:$P$68</definedName>
    <definedName name="_xlnm.Print_Area" localSheetId="3">'4.'!$A$1:$L$79</definedName>
    <definedName name="_xlnm.Print_Area" localSheetId="4">'5.'!$A$1:$L$175</definedName>
    <definedName name="_xlnm.Print_Area" localSheetId="6">'7.'!$A$1:$F$19</definedName>
    <definedName name="_xlnm.Print_Area" localSheetId="7">'8.'!$A$1:$F$47</definedName>
  </definedNames>
  <calcPr calcId="181029"/>
</workbook>
</file>

<file path=xl/calcChain.xml><?xml version="1.0" encoding="utf-8"?>
<calcChain xmlns="http://schemas.openxmlformats.org/spreadsheetml/2006/main">
  <c r="P55" i="39" l="1"/>
  <c r="P54" i="39"/>
  <c r="P47" i="39"/>
  <c r="P46" i="39"/>
  <c r="L155" i="79"/>
  <c r="C154" i="79"/>
  <c r="G154" i="79"/>
  <c r="H154" i="79"/>
  <c r="J154" i="79"/>
  <c r="K154" i="79"/>
  <c r="G155" i="79"/>
  <c r="H155" i="79"/>
  <c r="I155" i="79"/>
  <c r="J155" i="79"/>
  <c r="K155" i="79"/>
  <c r="F155" i="79"/>
  <c r="F154" i="79"/>
  <c r="F156" i="79" s="1"/>
  <c r="K135" i="79" l="1"/>
  <c r="J135" i="79"/>
  <c r="I135" i="79"/>
  <c r="H135" i="79"/>
  <c r="G135" i="79"/>
  <c r="F135" i="79"/>
  <c r="L134" i="79"/>
  <c r="L133" i="79"/>
  <c r="L135" i="79" s="1"/>
  <c r="D154" i="79" l="1"/>
  <c r="K126" i="79" l="1"/>
  <c r="J126" i="79"/>
  <c r="I126" i="79"/>
  <c r="H126" i="79"/>
  <c r="G126" i="79"/>
  <c r="F126" i="79"/>
  <c r="L125" i="79"/>
  <c r="L124" i="79"/>
  <c r="K123" i="79"/>
  <c r="J123" i="79"/>
  <c r="I123" i="79"/>
  <c r="H123" i="79"/>
  <c r="G123" i="79"/>
  <c r="F123" i="79"/>
  <c r="L122" i="79"/>
  <c r="L121" i="79"/>
  <c r="L126" i="79" l="1"/>
  <c r="L123" i="79"/>
  <c r="I136" i="79" l="1"/>
  <c r="K114" i="79" l="1"/>
  <c r="J114" i="79"/>
  <c r="H114" i="79"/>
  <c r="G114" i="79"/>
  <c r="F114" i="79"/>
  <c r="L113" i="79"/>
  <c r="I112" i="79"/>
  <c r="L112" i="79" s="1"/>
  <c r="L114" i="79" s="1"/>
  <c r="K111" i="79"/>
  <c r="J111" i="79"/>
  <c r="H111" i="79"/>
  <c r="G111" i="79"/>
  <c r="F111" i="79"/>
  <c r="L110" i="79"/>
  <c r="I109" i="79"/>
  <c r="I111" i="79" s="1"/>
  <c r="K108" i="79"/>
  <c r="J108" i="79"/>
  <c r="H108" i="79"/>
  <c r="G108" i="79"/>
  <c r="F108" i="79"/>
  <c r="L107" i="79"/>
  <c r="I106" i="79"/>
  <c r="L106" i="79" s="1"/>
  <c r="K105" i="79"/>
  <c r="J105" i="79"/>
  <c r="H105" i="79"/>
  <c r="G105" i="79"/>
  <c r="F105" i="79"/>
  <c r="L104" i="79"/>
  <c r="I103" i="79"/>
  <c r="I105" i="79" s="1"/>
  <c r="K102" i="79"/>
  <c r="J102" i="79"/>
  <c r="H102" i="79"/>
  <c r="G102" i="79"/>
  <c r="F102" i="79"/>
  <c r="L101" i="79"/>
  <c r="I100" i="79"/>
  <c r="L100" i="79" s="1"/>
  <c r="K99" i="79"/>
  <c r="J99" i="79"/>
  <c r="H99" i="79"/>
  <c r="G99" i="79"/>
  <c r="F99" i="79"/>
  <c r="L98" i="79"/>
  <c r="I97" i="79"/>
  <c r="I99" i="79" s="1"/>
  <c r="K96" i="79"/>
  <c r="J96" i="79"/>
  <c r="H96" i="79"/>
  <c r="G96" i="79"/>
  <c r="F96" i="79"/>
  <c r="L95" i="79"/>
  <c r="I94" i="79"/>
  <c r="L94" i="79" s="1"/>
  <c r="K93" i="79"/>
  <c r="J93" i="79"/>
  <c r="H93" i="79"/>
  <c r="G93" i="79"/>
  <c r="F93" i="79"/>
  <c r="L92" i="79"/>
  <c r="I91" i="79"/>
  <c r="I93" i="79" s="1"/>
  <c r="L118" i="79"/>
  <c r="L119" i="79"/>
  <c r="F120" i="79"/>
  <c r="G120" i="79"/>
  <c r="H120" i="79"/>
  <c r="J120" i="79"/>
  <c r="K120" i="79"/>
  <c r="I129" i="79"/>
  <c r="L128" i="79"/>
  <c r="F129" i="79"/>
  <c r="G129" i="79"/>
  <c r="H129" i="79"/>
  <c r="J129" i="79"/>
  <c r="K129" i="79"/>
  <c r="L130" i="79"/>
  <c r="L131" i="79"/>
  <c r="F132" i="79"/>
  <c r="G132" i="79"/>
  <c r="H132" i="79"/>
  <c r="J132" i="79"/>
  <c r="K132" i="79"/>
  <c r="K90" i="79"/>
  <c r="J90" i="79"/>
  <c r="I90" i="79"/>
  <c r="H90" i="79"/>
  <c r="G90" i="79"/>
  <c r="F90" i="79"/>
  <c r="L89" i="79"/>
  <c r="L88" i="79"/>
  <c r="K87" i="79"/>
  <c r="J87" i="79"/>
  <c r="H87" i="79"/>
  <c r="G87" i="79"/>
  <c r="F87" i="79"/>
  <c r="L86" i="79"/>
  <c r="I85" i="79"/>
  <c r="I87" i="79" s="1"/>
  <c r="L108" i="79" l="1"/>
  <c r="I102" i="79"/>
  <c r="L90" i="79"/>
  <c r="L96" i="79"/>
  <c r="I96" i="79"/>
  <c r="I114" i="79"/>
  <c r="L102" i="79"/>
  <c r="I108" i="79"/>
  <c r="I132" i="79"/>
  <c r="L132" i="79"/>
  <c r="L103" i="79"/>
  <c r="L105" i="79" s="1"/>
  <c r="L109" i="79"/>
  <c r="L111" i="79" s="1"/>
  <c r="L91" i="79"/>
  <c r="L93" i="79" s="1"/>
  <c r="L97" i="79"/>
  <c r="L99" i="79" s="1"/>
  <c r="L127" i="79"/>
  <c r="L129" i="79" s="1"/>
  <c r="I120" i="79"/>
  <c r="L120" i="79"/>
  <c r="L85" i="79"/>
  <c r="L87" i="79" s="1"/>
  <c r="L58" i="79" l="1"/>
  <c r="L59" i="79"/>
  <c r="L60" i="79" l="1"/>
  <c r="L10" i="79"/>
  <c r="L11" i="79"/>
  <c r="F12" i="79"/>
  <c r="G12" i="79"/>
  <c r="H12" i="79"/>
  <c r="I12" i="79"/>
  <c r="J12" i="79"/>
  <c r="K12" i="79"/>
  <c r="L13" i="79"/>
  <c r="L14" i="79"/>
  <c r="F15" i="79"/>
  <c r="G15" i="79"/>
  <c r="H15" i="79"/>
  <c r="I15" i="79"/>
  <c r="J15" i="79"/>
  <c r="K15" i="79"/>
  <c r="L15" i="79" l="1"/>
  <c r="L12" i="79"/>
  <c r="K174" i="88"/>
  <c r="I174" i="88"/>
  <c r="H174" i="88"/>
  <c r="G174" i="88"/>
  <c r="K173" i="88"/>
  <c r="K175" i="88" s="1"/>
  <c r="I173" i="88"/>
  <c r="I175" i="88" s="1"/>
  <c r="K172" i="88"/>
  <c r="I172" i="88"/>
  <c r="H172" i="88"/>
  <c r="G172" i="88"/>
  <c r="F172" i="88"/>
  <c r="L171" i="88"/>
  <c r="J170" i="88"/>
  <c r="L170" i="88" s="1"/>
  <c r="K169" i="88"/>
  <c r="I169" i="88"/>
  <c r="H169" i="88"/>
  <c r="G169" i="88"/>
  <c r="F169" i="88"/>
  <c r="L168" i="88"/>
  <c r="J167" i="88"/>
  <c r="J169" i="88" s="1"/>
  <c r="K166" i="88"/>
  <c r="I166" i="88"/>
  <c r="H166" i="88"/>
  <c r="G166" i="88"/>
  <c r="F166" i="88"/>
  <c r="L165" i="88"/>
  <c r="J164" i="88"/>
  <c r="L164" i="88" s="1"/>
  <c r="K163" i="88"/>
  <c r="I163" i="88"/>
  <c r="H163" i="88"/>
  <c r="G163" i="88"/>
  <c r="F163" i="88"/>
  <c r="L162" i="88"/>
  <c r="J161" i="88"/>
  <c r="J163" i="88" s="1"/>
  <c r="K160" i="88"/>
  <c r="I160" i="88"/>
  <c r="H160" i="88"/>
  <c r="G160" i="88"/>
  <c r="F160" i="88"/>
  <c r="L159" i="88"/>
  <c r="J158" i="88"/>
  <c r="L158" i="88" s="1"/>
  <c r="K157" i="88"/>
  <c r="I157" i="88"/>
  <c r="H157" i="88"/>
  <c r="G157" i="88"/>
  <c r="F157" i="88"/>
  <c r="L156" i="88"/>
  <c r="J155" i="88"/>
  <c r="J157" i="88" s="1"/>
  <c r="K154" i="88"/>
  <c r="I154" i="88"/>
  <c r="H154" i="88"/>
  <c r="G154" i="88"/>
  <c r="F154" i="88"/>
  <c r="L153" i="88"/>
  <c r="J152" i="88"/>
  <c r="L152" i="88" s="1"/>
  <c r="K151" i="88"/>
  <c r="I151" i="88"/>
  <c r="H151" i="88"/>
  <c r="G151" i="88"/>
  <c r="F151" i="88"/>
  <c r="L150" i="88"/>
  <c r="J149" i="88"/>
  <c r="J151" i="88" s="1"/>
  <c r="K148" i="88"/>
  <c r="I148" i="88"/>
  <c r="H148" i="88"/>
  <c r="G148" i="88"/>
  <c r="F148" i="88"/>
  <c r="L147" i="88"/>
  <c r="F146" i="88"/>
  <c r="J146" i="88" s="1"/>
  <c r="K145" i="88"/>
  <c r="I145" i="88"/>
  <c r="H145" i="88"/>
  <c r="G145" i="88"/>
  <c r="L144" i="88"/>
  <c r="F143" i="88"/>
  <c r="J143" i="88" s="1"/>
  <c r="K142" i="88"/>
  <c r="I142" i="88"/>
  <c r="H142" i="88"/>
  <c r="G142" i="88"/>
  <c r="F142" i="88"/>
  <c r="J141" i="88"/>
  <c r="L141" i="88" s="1"/>
  <c r="J140" i="88"/>
  <c r="J142" i="88" s="1"/>
  <c r="K139" i="88"/>
  <c r="I139" i="88"/>
  <c r="G139" i="88"/>
  <c r="J138" i="88"/>
  <c r="L138" i="88" s="1"/>
  <c r="H137" i="88"/>
  <c r="H139" i="88" s="1"/>
  <c r="F137" i="88"/>
  <c r="F139" i="88" s="1"/>
  <c r="K136" i="88"/>
  <c r="I136" i="88"/>
  <c r="H136" i="88"/>
  <c r="G136" i="88"/>
  <c r="F136" i="88"/>
  <c r="L135" i="88"/>
  <c r="J134" i="88"/>
  <c r="L134" i="88" s="1"/>
  <c r="K133" i="88"/>
  <c r="I133" i="88"/>
  <c r="H133" i="88"/>
  <c r="G133" i="88"/>
  <c r="F133" i="88"/>
  <c r="L132" i="88"/>
  <c r="J131" i="88"/>
  <c r="L131" i="88" s="1"/>
  <c r="K130" i="88"/>
  <c r="I130" i="88"/>
  <c r="H130" i="88"/>
  <c r="G130" i="88"/>
  <c r="F130" i="88"/>
  <c r="L129" i="88"/>
  <c r="J128" i="88"/>
  <c r="J130" i="88" s="1"/>
  <c r="L130" i="88" s="1"/>
  <c r="K127" i="88"/>
  <c r="I127" i="88"/>
  <c r="H127" i="88"/>
  <c r="G127" i="88"/>
  <c r="F174" i="88"/>
  <c r="F125" i="88"/>
  <c r="K124" i="88"/>
  <c r="I124" i="88"/>
  <c r="H124" i="88"/>
  <c r="F124" i="88"/>
  <c r="L123" i="88"/>
  <c r="G122" i="88"/>
  <c r="J122" i="88" s="1"/>
  <c r="J124" i="88" s="1"/>
  <c r="L124" i="88" s="1"/>
  <c r="K121" i="88"/>
  <c r="I121" i="88"/>
  <c r="H121" i="88"/>
  <c r="F121" i="88"/>
  <c r="L120" i="88"/>
  <c r="G121" i="88"/>
  <c r="K118" i="88"/>
  <c r="I118" i="88"/>
  <c r="H118" i="88"/>
  <c r="F118" i="88"/>
  <c r="L117" i="88"/>
  <c r="G116" i="88"/>
  <c r="J116" i="88" s="1"/>
  <c r="J118" i="88" s="1"/>
  <c r="K115" i="88"/>
  <c r="I115" i="88"/>
  <c r="H115" i="88"/>
  <c r="F115" i="88"/>
  <c r="L114" i="88"/>
  <c r="G115" i="88"/>
  <c r="K112" i="88"/>
  <c r="I112" i="88"/>
  <c r="H112" i="88"/>
  <c r="F112" i="88"/>
  <c r="L111" i="88"/>
  <c r="G110" i="88"/>
  <c r="G112" i="88" s="1"/>
  <c r="K109" i="88"/>
  <c r="I109" i="88"/>
  <c r="H109" i="88"/>
  <c r="G109" i="88"/>
  <c r="F109" i="88"/>
  <c r="L108" i="88"/>
  <c r="J107" i="88"/>
  <c r="L107" i="88" s="1"/>
  <c r="K106" i="88"/>
  <c r="I106" i="88"/>
  <c r="H106" i="88"/>
  <c r="F106" i="88"/>
  <c r="L105" i="88"/>
  <c r="G104" i="88"/>
  <c r="K103" i="88"/>
  <c r="I103" i="88"/>
  <c r="H103" i="88"/>
  <c r="F103" i="88"/>
  <c r="L102" i="88"/>
  <c r="G101" i="88"/>
  <c r="G103" i="88" s="1"/>
  <c r="K100" i="88"/>
  <c r="I100" i="88"/>
  <c r="H100" i="88"/>
  <c r="F100" i="88"/>
  <c r="L99" i="88"/>
  <c r="G100" i="88"/>
  <c r="K89" i="88"/>
  <c r="I89" i="88"/>
  <c r="H89" i="88"/>
  <c r="G89" i="88"/>
  <c r="K88" i="88"/>
  <c r="K90" i="88" s="1"/>
  <c r="I88" i="88"/>
  <c r="I90" i="88" s="1"/>
  <c r="K87" i="88"/>
  <c r="I87" i="88"/>
  <c r="H87" i="88"/>
  <c r="G87" i="88"/>
  <c r="F87" i="88"/>
  <c r="L86" i="88"/>
  <c r="J85" i="88"/>
  <c r="L85" i="88" s="1"/>
  <c r="K84" i="88"/>
  <c r="I84" i="88"/>
  <c r="H84" i="88"/>
  <c r="G84" i="88"/>
  <c r="F84" i="88"/>
  <c r="L83" i="88"/>
  <c r="J82" i="88"/>
  <c r="J84" i="88" s="1"/>
  <c r="K81" i="88"/>
  <c r="I81" i="88"/>
  <c r="H81" i="88"/>
  <c r="G81" i="88"/>
  <c r="F81" i="88"/>
  <c r="L80" i="88"/>
  <c r="J79" i="88"/>
  <c r="L79" i="88" s="1"/>
  <c r="K78" i="88"/>
  <c r="I78" i="88"/>
  <c r="H78" i="88"/>
  <c r="G78" i="88"/>
  <c r="F78" i="88"/>
  <c r="L77" i="88"/>
  <c r="L76" i="88"/>
  <c r="J76" i="88"/>
  <c r="J78" i="88" s="1"/>
  <c r="K75" i="88"/>
  <c r="I75" i="88"/>
  <c r="H75" i="88"/>
  <c r="G75" i="88"/>
  <c r="F75" i="88"/>
  <c r="L74" i="88"/>
  <c r="J73" i="88"/>
  <c r="L73" i="88" s="1"/>
  <c r="K72" i="88"/>
  <c r="I72" i="88"/>
  <c r="H72" i="88"/>
  <c r="G72" i="88"/>
  <c r="F72" i="88"/>
  <c r="L71" i="88"/>
  <c r="J70" i="88"/>
  <c r="J72" i="88" s="1"/>
  <c r="L72" i="88" s="1"/>
  <c r="K69" i="88"/>
  <c r="I69" i="88"/>
  <c r="H69" i="88"/>
  <c r="G69" i="88"/>
  <c r="F69" i="88"/>
  <c r="L68" i="88"/>
  <c r="J67" i="88"/>
  <c r="L67" i="88" s="1"/>
  <c r="K66" i="88"/>
  <c r="I66" i="88"/>
  <c r="H66" i="88"/>
  <c r="G66" i="88"/>
  <c r="F66" i="88"/>
  <c r="L65" i="88"/>
  <c r="J64" i="88"/>
  <c r="J66" i="88" s="1"/>
  <c r="K63" i="88"/>
  <c r="I63" i="88"/>
  <c r="H63" i="88"/>
  <c r="G63" i="88"/>
  <c r="L62" i="88"/>
  <c r="F61" i="88"/>
  <c r="J61" i="88" s="1"/>
  <c r="K60" i="88"/>
  <c r="I60" i="88"/>
  <c r="H60" i="88"/>
  <c r="G60" i="88"/>
  <c r="L59" i="88"/>
  <c r="F58" i="88"/>
  <c r="J58" i="88" s="1"/>
  <c r="K57" i="88"/>
  <c r="I57" i="88"/>
  <c r="H57" i="88"/>
  <c r="G57" i="88"/>
  <c r="F57" i="88"/>
  <c r="J56" i="88"/>
  <c r="L56" i="88" s="1"/>
  <c r="J55" i="88"/>
  <c r="L55" i="88" s="1"/>
  <c r="K54" i="88"/>
  <c r="I54" i="88"/>
  <c r="G54" i="88"/>
  <c r="J53" i="88"/>
  <c r="L53" i="88" s="1"/>
  <c r="H52" i="88"/>
  <c r="H54" i="88" s="1"/>
  <c r="F52" i="88"/>
  <c r="F54" i="88" s="1"/>
  <c r="K51" i="88"/>
  <c r="I51" i="88"/>
  <c r="H51" i="88"/>
  <c r="G51" i="88"/>
  <c r="F51" i="88"/>
  <c r="L50" i="88"/>
  <c r="J49" i="88"/>
  <c r="J51" i="88" s="1"/>
  <c r="L51" i="88" s="1"/>
  <c r="K48" i="88"/>
  <c r="I48" i="88"/>
  <c r="H48" i="88"/>
  <c r="G48" i="88"/>
  <c r="F48" i="88"/>
  <c r="L47" i="88"/>
  <c r="J46" i="88"/>
  <c r="L46" i="88" s="1"/>
  <c r="K45" i="88"/>
  <c r="I45" i="88"/>
  <c r="H45" i="88"/>
  <c r="G45" i="88"/>
  <c r="F45" i="88"/>
  <c r="L44" i="88"/>
  <c r="J43" i="88"/>
  <c r="J45" i="88" s="1"/>
  <c r="L45" i="88" s="1"/>
  <c r="K42" i="88"/>
  <c r="I42" i="88"/>
  <c r="H42" i="88"/>
  <c r="G42" i="88"/>
  <c r="F42" i="88"/>
  <c r="F41" i="88"/>
  <c r="J41" i="88" s="1"/>
  <c r="F40" i="88"/>
  <c r="K39" i="88"/>
  <c r="I39" i="88"/>
  <c r="H39" i="88"/>
  <c r="F39" i="88"/>
  <c r="L38" i="88"/>
  <c r="G37" i="88"/>
  <c r="J37" i="88" s="1"/>
  <c r="J39" i="88" s="1"/>
  <c r="L39" i="88" s="1"/>
  <c r="K36" i="88"/>
  <c r="I36" i="88"/>
  <c r="H36" i="88"/>
  <c r="F36" i="88"/>
  <c r="L35" i="88"/>
  <c r="G34" i="88"/>
  <c r="G36" i="88" s="1"/>
  <c r="K33" i="88"/>
  <c r="I33" i="88"/>
  <c r="H33" i="88"/>
  <c r="F33" i="88"/>
  <c r="L32" i="88"/>
  <c r="G31" i="88"/>
  <c r="J31" i="88" s="1"/>
  <c r="J33" i="88" s="1"/>
  <c r="L33" i="88" s="1"/>
  <c r="K30" i="88"/>
  <c r="I30" i="88"/>
  <c r="H30" i="88"/>
  <c r="F30" i="88"/>
  <c r="L29" i="88"/>
  <c r="G28" i="88"/>
  <c r="G30" i="88" s="1"/>
  <c r="K27" i="88"/>
  <c r="I27" i="88"/>
  <c r="H27" i="88"/>
  <c r="F27" i="88"/>
  <c r="L26" i="88"/>
  <c r="G25" i="88"/>
  <c r="G27" i="88" s="1"/>
  <c r="K24" i="88"/>
  <c r="I24" i="88"/>
  <c r="H24" i="88"/>
  <c r="G24" i="88"/>
  <c r="F24" i="88"/>
  <c r="L23" i="88"/>
  <c r="J22" i="88"/>
  <c r="J24" i="88" s="1"/>
  <c r="K21" i="88"/>
  <c r="I21" i="88"/>
  <c r="H21" i="88"/>
  <c r="F21" i="88"/>
  <c r="L20" i="88"/>
  <c r="G19" i="88"/>
  <c r="J19" i="88" s="1"/>
  <c r="K18" i="88"/>
  <c r="I18" i="88"/>
  <c r="H18" i="88"/>
  <c r="F18" i="88"/>
  <c r="L17" i="88"/>
  <c r="G16" i="88"/>
  <c r="G18" i="88" s="1"/>
  <c r="K15" i="88"/>
  <c r="I15" i="88"/>
  <c r="H15" i="88"/>
  <c r="F15" i="88"/>
  <c r="L14" i="88"/>
  <c r="G13" i="88"/>
  <c r="G15" i="88" s="1"/>
  <c r="J109" i="88" l="1"/>
  <c r="L109" i="88" s="1"/>
  <c r="L49" i="88"/>
  <c r="L66" i="88"/>
  <c r="L70" i="88"/>
  <c r="F88" i="88"/>
  <c r="J48" i="88"/>
  <c r="L48" i="88" s="1"/>
  <c r="L64" i="88"/>
  <c r="L84" i="88"/>
  <c r="J133" i="88"/>
  <c r="L133" i="88" s="1"/>
  <c r="J136" i="88"/>
  <c r="L136" i="88" s="1"/>
  <c r="L142" i="88"/>
  <c r="L24" i="88"/>
  <c r="L22" i="88"/>
  <c r="L78" i="88"/>
  <c r="L82" i="88"/>
  <c r="L118" i="88"/>
  <c r="G33" i="88"/>
  <c r="G39" i="88"/>
  <c r="L43" i="88"/>
  <c r="J69" i="88"/>
  <c r="L69" i="88" s="1"/>
  <c r="J75" i="88"/>
  <c r="L75" i="88" s="1"/>
  <c r="J81" i="88"/>
  <c r="L81" i="88" s="1"/>
  <c r="J87" i="88"/>
  <c r="L87" i="88" s="1"/>
  <c r="G173" i="88"/>
  <c r="G175" i="88" s="1"/>
  <c r="G118" i="88"/>
  <c r="G124" i="88"/>
  <c r="F173" i="88"/>
  <c r="F175" i="88" s="1"/>
  <c r="L128" i="88"/>
  <c r="L140" i="88"/>
  <c r="L151" i="88"/>
  <c r="L157" i="88"/>
  <c r="L163" i="88"/>
  <c r="L169" i="88"/>
  <c r="L149" i="88"/>
  <c r="L155" i="88"/>
  <c r="L161" i="88"/>
  <c r="L167" i="88"/>
  <c r="F127" i="88"/>
  <c r="J154" i="88"/>
  <c r="L154" i="88" s="1"/>
  <c r="J160" i="88"/>
  <c r="L160" i="88" s="1"/>
  <c r="J166" i="88"/>
  <c r="L166" i="88" s="1"/>
  <c r="J172" i="88"/>
  <c r="L172" i="88" s="1"/>
  <c r="L143" i="88"/>
  <c r="J145" i="88"/>
  <c r="L145" i="88" s="1"/>
  <c r="L146" i="88"/>
  <c r="J148" i="88"/>
  <c r="L148" i="88" s="1"/>
  <c r="J104" i="88"/>
  <c r="G106" i="88"/>
  <c r="J113" i="88"/>
  <c r="L116" i="88"/>
  <c r="L122" i="88"/>
  <c r="J137" i="88"/>
  <c r="F145" i="88"/>
  <c r="H173" i="88"/>
  <c r="H175" i="88" s="1"/>
  <c r="J101" i="88"/>
  <c r="J110" i="88"/>
  <c r="J126" i="88"/>
  <c r="J98" i="88"/>
  <c r="J119" i="88"/>
  <c r="J125" i="88"/>
  <c r="L61" i="88"/>
  <c r="J63" i="88"/>
  <c r="L63" i="88" s="1"/>
  <c r="L19" i="88"/>
  <c r="J21" i="88"/>
  <c r="L21" i="88" s="1"/>
  <c r="L58" i="88"/>
  <c r="J60" i="88"/>
  <c r="L60" i="88" s="1"/>
  <c r="L41" i="88"/>
  <c r="L89" i="88" s="1"/>
  <c r="J89" i="88"/>
  <c r="F63" i="88"/>
  <c r="G88" i="88"/>
  <c r="G90" i="88" s="1"/>
  <c r="G21" i="88"/>
  <c r="J28" i="88"/>
  <c r="L31" i="88"/>
  <c r="L37" i="88"/>
  <c r="J52" i="88"/>
  <c r="F60" i="88"/>
  <c r="H88" i="88"/>
  <c r="H90" i="88" s="1"/>
  <c r="J16" i="88"/>
  <c r="J25" i="88"/>
  <c r="J57" i="88"/>
  <c r="L57" i="88" s="1"/>
  <c r="F89" i="88"/>
  <c r="F90" i="88" s="1"/>
  <c r="J13" i="88"/>
  <c r="J34" i="88"/>
  <c r="J40" i="88"/>
  <c r="H96" i="86"/>
  <c r="H98" i="86" s="1"/>
  <c r="G171" i="86"/>
  <c r="J172" i="86"/>
  <c r="I172" i="86"/>
  <c r="J170" i="86"/>
  <c r="G170" i="86"/>
  <c r="K169" i="86"/>
  <c r="I168" i="86"/>
  <c r="I170" i="86" s="1"/>
  <c r="H170" i="86"/>
  <c r="F168" i="86"/>
  <c r="F170" i="86" s="1"/>
  <c r="J167" i="86"/>
  <c r="I167" i="86"/>
  <c r="G167" i="86"/>
  <c r="K166" i="86"/>
  <c r="H167" i="86"/>
  <c r="F165" i="86"/>
  <c r="K165" i="86" s="1"/>
  <c r="J164" i="86"/>
  <c r="G164" i="86"/>
  <c r="I162" i="86"/>
  <c r="F162" i="86"/>
  <c r="F164" i="86" s="1"/>
  <c r="J161" i="86"/>
  <c r="G161" i="86"/>
  <c r="K160" i="86"/>
  <c r="I161" i="86"/>
  <c r="H161" i="86"/>
  <c r="F159" i="86"/>
  <c r="J158" i="86"/>
  <c r="G158" i="86"/>
  <c r="K157" i="86"/>
  <c r="I156" i="86"/>
  <c r="I158" i="86" s="1"/>
  <c r="H156" i="86"/>
  <c r="H158" i="86" s="1"/>
  <c r="F156" i="86"/>
  <c r="J155" i="86"/>
  <c r="I155" i="86"/>
  <c r="G155" i="86"/>
  <c r="K154" i="86"/>
  <c r="K153" i="86"/>
  <c r="K155" i="86" s="1"/>
  <c r="H155" i="86"/>
  <c r="F153" i="86"/>
  <c r="F155" i="86" s="1"/>
  <c r="J152" i="86"/>
  <c r="I152" i="86"/>
  <c r="G152" i="86"/>
  <c r="K151" i="86"/>
  <c r="H152" i="86"/>
  <c r="F150" i="86"/>
  <c r="F152" i="86" s="1"/>
  <c r="J149" i="86"/>
  <c r="G149" i="86"/>
  <c r="K148" i="86"/>
  <c r="I147" i="86"/>
  <c r="I149" i="86" s="1"/>
  <c r="H149" i="86"/>
  <c r="F147" i="86"/>
  <c r="F149" i="86" s="1"/>
  <c r="J146" i="86"/>
  <c r="I146" i="86"/>
  <c r="H146" i="86"/>
  <c r="G145" i="86"/>
  <c r="G146" i="86" s="1"/>
  <c r="F145" i="86"/>
  <c r="F146" i="86" s="1"/>
  <c r="K144" i="86"/>
  <c r="J143" i="86"/>
  <c r="I143" i="86"/>
  <c r="H143" i="86"/>
  <c r="G143" i="86"/>
  <c r="G142" i="86"/>
  <c r="F142" i="86"/>
  <c r="F143" i="86" s="1"/>
  <c r="K141" i="86"/>
  <c r="J140" i="86"/>
  <c r="I140" i="86"/>
  <c r="G140" i="86"/>
  <c r="F140" i="86"/>
  <c r="K139" i="86"/>
  <c r="H140" i="86"/>
  <c r="J137" i="86"/>
  <c r="I137" i="86"/>
  <c r="G137" i="86"/>
  <c r="F137" i="86"/>
  <c r="K136" i="86"/>
  <c r="H137" i="86"/>
  <c r="I134" i="86"/>
  <c r="G134" i="86"/>
  <c r="F134" i="86"/>
  <c r="K133" i="86"/>
  <c r="H134" i="86"/>
  <c r="J131" i="86"/>
  <c r="I131" i="86"/>
  <c r="H131" i="86"/>
  <c r="G131" i="86"/>
  <c r="F131" i="86"/>
  <c r="J128" i="86"/>
  <c r="I128" i="86"/>
  <c r="F128" i="86"/>
  <c r="G128" i="86"/>
  <c r="K126" i="86"/>
  <c r="J125" i="86"/>
  <c r="I125" i="86"/>
  <c r="H125" i="86"/>
  <c r="J122" i="86"/>
  <c r="I122" i="86"/>
  <c r="G122" i="86"/>
  <c r="F122" i="86"/>
  <c r="K120" i="86"/>
  <c r="J119" i="86"/>
  <c r="I119" i="86"/>
  <c r="F119" i="86"/>
  <c r="G119" i="86"/>
  <c r="J116" i="86"/>
  <c r="I116" i="86"/>
  <c r="G116" i="86"/>
  <c r="F116" i="86"/>
  <c r="K115" i="86"/>
  <c r="H114" i="86"/>
  <c r="H116" i="86" s="1"/>
  <c r="I113" i="86"/>
  <c r="K112" i="86"/>
  <c r="J111" i="86"/>
  <c r="J113" i="86" s="1"/>
  <c r="H111" i="86"/>
  <c r="H113" i="86" s="1"/>
  <c r="G111" i="86"/>
  <c r="G113" i="86" s="1"/>
  <c r="K111" i="86"/>
  <c r="K113" i="86" s="1"/>
  <c r="J110" i="86"/>
  <c r="I110" i="86"/>
  <c r="H110" i="86"/>
  <c r="G110" i="86"/>
  <c r="F110" i="86"/>
  <c r="K109" i="86"/>
  <c r="K108" i="86"/>
  <c r="J107" i="86"/>
  <c r="I107" i="86"/>
  <c r="G107" i="86"/>
  <c r="K106" i="86"/>
  <c r="H107" i="86"/>
  <c r="F107" i="86"/>
  <c r="J104" i="86"/>
  <c r="I104" i="86"/>
  <c r="H104" i="86"/>
  <c r="G104" i="86"/>
  <c r="F104" i="86"/>
  <c r="K103" i="86"/>
  <c r="K102" i="86"/>
  <c r="K104" i="86" s="1"/>
  <c r="J101" i="86"/>
  <c r="I101" i="86"/>
  <c r="H101" i="86"/>
  <c r="G101" i="86"/>
  <c r="F101" i="86"/>
  <c r="K100" i="86"/>
  <c r="K99" i="86"/>
  <c r="J98" i="86"/>
  <c r="I98" i="86"/>
  <c r="K97" i="86"/>
  <c r="J88" i="86"/>
  <c r="I88" i="86"/>
  <c r="J86" i="86"/>
  <c r="G86" i="86"/>
  <c r="K85" i="86"/>
  <c r="I84" i="86"/>
  <c r="I86" i="86" s="1"/>
  <c r="H84" i="86"/>
  <c r="H86" i="86" s="1"/>
  <c r="F84" i="86"/>
  <c r="F86" i="86" s="1"/>
  <c r="J83" i="86"/>
  <c r="G83" i="86"/>
  <c r="K82" i="86"/>
  <c r="I81" i="86"/>
  <c r="I83" i="86" s="1"/>
  <c r="H81" i="86"/>
  <c r="H83" i="86" s="1"/>
  <c r="F81" i="86"/>
  <c r="J80" i="86"/>
  <c r="G79" i="86"/>
  <c r="G80" i="86" s="1"/>
  <c r="F79" i="86"/>
  <c r="I78" i="86"/>
  <c r="I80" i="86" s="1"/>
  <c r="H78" i="86"/>
  <c r="F78" i="86"/>
  <c r="F80" i="86" s="1"/>
  <c r="J77" i="86"/>
  <c r="G77" i="86"/>
  <c r="K76" i="86"/>
  <c r="I75" i="86"/>
  <c r="I77" i="86" s="1"/>
  <c r="H75" i="86"/>
  <c r="H77" i="86" s="1"/>
  <c r="F75" i="86"/>
  <c r="J74" i="86"/>
  <c r="G74" i="86"/>
  <c r="F73" i="86"/>
  <c r="K73" i="86" s="1"/>
  <c r="I72" i="86"/>
  <c r="I74" i="86" s="1"/>
  <c r="H72" i="86"/>
  <c r="H74" i="86" s="1"/>
  <c r="F72" i="86"/>
  <c r="K72" i="86" s="1"/>
  <c r="K74" i="86" s="1"/>
  <c r="J71" i="86"/>
  <c r="I71" i="86"/>
  <c r="G71" i="86"/>
  <c r="K70" i="86"/>
  <c r="H69" i="86"/>
  <c r="H71" i="86" s="1"/>
  <c r="F69" i="86"/>
  <c r="F71" i="86" s="1"/>
  <c r="J68" i="86"/>
  <c r="I68" i="86"/>
  <c r="G68" i="86"/>
  <c r="K67" i="86"/>
  <c r="H66" i="86"/>
  <c r="H68" i="86" s="1"/>
  <c r="F66" i="86"/>
  <c r="J65" i="86"/>
  <c r="G65" i="86"/>
  <c r="K64" i="86"/>
  <c r="I63" i="86"/>
  <c r="H63" i="86"/>
  <c r="H65" i="86" s="1"/>
  <c r="F63" i="86"/>
  <c r="K63" i="86" s="1"/>
  <c r="J62" i="86"/>
  <c r="I62" i="86"/>
  <c r="H62" i="86"/>
  <c r="G61" i="86"/>
  <c r="G62" i="86" s="1"/>
  <c r="F61" i="86"/>
  <c r="F62" i="86" s="1"/>
  <c r="K60" i="86"/>
  <c r="J59" i="86"/>
  <c r="I59" i="86"/>
  <c r="H59" i="86"/>
  <c r="G58" i="86"/>
  <c r="G59" i="86" s="1"/>
  <c r="F58" i="86"/>
  <c r="F59" i="86" s="1"/>
  <c r="K57" i="86"/>
  <c r="J56" i="86"/>
  <c r="I56" i="86"/>
  <c r="G56" i="86"/>
  <c r="F56" i="86"/>
  <c r="K55" i="86"/>
  <c r="H54" i="86"/>
  <c r="H56" i="86" s="1"/>
  <c r="J53" i="86"/>
  <c r="I53" i="86"/>
  <c r="G53" i="86"/>
  <c r="F53" i="86"/>
  <c r="K52" i="86"/>
  <c r="H51" i="86"/>
  <c r="H53" i="86" s="1"/>
  <c r="I50" i="86"/>
  <c r="G50" i="86"/>
  <c r="F49" i="86"/>
  <c r="F50" i="86" s="1"/>
  <c r="J48" i="86"/>
  <c r="J50" i="86" s="1"/>
  <c r="H48" i="86"/>
  <c r="H50" i="86" s="1"/>
  <c r="J47" i="86"/>
  <c r="I47" i="86"/>
  <c r="H47" i="86"/>
  <c r="G46" i="86"/>
  <c r="G47" i="86" s="1"/>
  <c r="F46" i="86"/>
  <c r="H45" i="86"/>
  <c r="F45" i="86"/>
  <c r="F47" i="86" s="1"/>
  <c r="J44" i="86"/>
  <c r="I44" i="86"/>
  <c r="G43" i="86"/>
  <c r="G44" i="86" s="1"/>
  <c r="F43" i="86"/>
  <c r="F44" i="86" s="1"/>
  <c r="H42" i="86"/>
  <c r="H44" i="86" s="1"/>
  <c r="J41" i="86"/>
  <c r="I41" i="86"/>
  <c r="H40" i="86"/>
  <c r="G40" i="86"/>
  <c r="G41" i="86" s="1"/>
  <c r="F40" i="86"/>
  <c r="H39" i="86"/>
  <c r="H41" i="86" s="1"/>
  <c r="F39" i="86"/>
  <c r="J38" i="86"/>
  <c r="I38" i="86"/>
  <c r="H38" i="86"/>
  <c r="G38" i="86"/>
  <c r="G37" i="86"/>
  <c r="F37" i="86"/>
  <c r="K36" i="86"/>
  <c r="H36" i="86"/>
  <c r="J35" i="86"/>
  <c r="I35" i="86"/>
  <c r="H34" i="86"/>
  <c r="H88" i="86" s="1"/>
  <c r="G34" i="86"/>
  <c r="G35" i="86" s="1"/>
  <c r="H33" i="86"/>
  <c r="H35" i="86" s="1"/>
  <c r="F33" i="86"/>
  <c r="F35" i="86" s="1"/>
  <c r="J32" i="86"/>
  <c r="I32" i="86"/>
  <c r="G32" i="86"/>
  <c r="F32" i="86"/>
  <c r="K31" i="86"/>
  <c r="H30" i="86"/>
  <c r="H32" i="86" s="1"/>
  <c r="I29" i="86"/>
  <c r="G28" i="86"/>
  <c r="F28" i="86"/>
  <c r="J27" i="86"/>
  <c r="J87" i="86" s="1"/>
  <c r="J89" i="86" s="1"/>
  <c r="H27" i="86"/>
  <c r="H29" i="86" s="1"/>
  <c r="G27" i="86"/>
  <c r="G29" i="86" s="1"/>
  <c r="F27" i="86"/>
  <c r="F29" i="86" s="1"/>
  <c r="J26" i="86"/>
  <c r="I26" i="86"/>
  <c r="H26" i="86"/>
  <c r="G26" i="86"/>
  <c r="F26" i="86"/>
  <c r="K25" i="86"/>
  <c r="K24" i="86"/>
  <c r="K26" i="86" s="1"/>
  <c r="J23" i="86"/>
  <c r="I23" i="86"/>
  <c r="G23" i="86"/>
  <c r="K22" i="86"/>
  <c r="H21" i="86"/>
  <c r="F21" i="86"/>
  <c r="F23" i="86" s="1"/>
  <c r="J20" i="86"/>
  <c r="I20" i="86"/>
  <c r="H20" i="86"/>
  <c r="G20" i="86"/>
  <c r="F20" i="86"/>
  <c r="K19" i="86"/>
  <c r="K18" i="86"/>
  <c r="K20" i="86" s="1"/>
  <c r="J17" i="86"/>
  <c r="I17" i="86"/>
  <c r="H17" i="86"/>
  <c r="G17" i="86"/>
  <c r="F17" i="86"/>
  <c r="K16" i="86"/>
  <c r="K15" i="86"/>
  <c r="K17" i="86" s="1"/>
  <c r="J14" i="86"/>
  <c r="I14" i="86"/>
  <c r="K13" i="86"/>
  <c r="H12" i="86"/>
  <c r="H14" i="86" s="1"/>
  <c r="G12" i="86"/>
  <c r="G87" i="86" s="1"/>
  <c r="F12" i="86"/>
  <c r="K12" i="86" s="1"/>
  <c r="L78" i="87"/>
  <c r="J78" i="87"/>
  <c r="I78" i="87"/>
  <c r="G78" i="87"/>
  <c r="F78" i="87"/>
  <c r="K77" i="87"/>
  <c r="K78" i="87" s="1"/>
  <c r="H77" i="87"/>
  <c r="H78" i="87" s="1"/>
  <c r="G75" i="87"/>
  <c r="K74" i="87"/>
  <c r="H74" i="87"/>
  <c r="K73" i="87"/>
  <c r="H73" i="87"/>
  <c r="K72" i="87"/>
  <c r="H72" i="87"/>
  <c r="K71" i="87"/>
  <c r="H71" i="87"/>
  <c r="K70" i="87"/>
  <c r="H70" i="87"/>
  <c r="K69" i="87"/>
  <c r="H69" i="87"/>
  <c r="K68" i="87"/>
  <c r="H68" i="87"/>
  <c r="K67" i="87"/>
  <c r="H67" i="87"/>
  <c r="K66" i="87"/>
  <c r="H66" i="87"/>
  <c r="K65" i="87"/>
  <c r="H65" i="87"/>
  <c r="K64" i="87"/>
  <c r="H64" i="87"/>
  <c r="K63" i="87"/>
  <c r="H63" i="87"/>
  <c r="F75" i="87"/>
  <c r="F79" i="87" s="1"/>
  <c r="K62" i="87"/>
  <c r="H62" i="87"/>
  <c r="K61" i="87"/>
  <c r="H61" i="87"/>
  <c r="K60" i="87"/>
  <c r="H60" i="87"/>
  <c r="K59" i="87"/>
  <c r="H59" i="87"/>
  <c r="K58" i="87"/>
  <c r="H58" i="87"/>
  <c r="K57" i="87"/>
  <c r="H57" i="87"/>
  <c r="K56" i="87"/>
  <c r="H56" i="87"/>
  <c r="J75" i="87"/>
  <c r="J79" i="87" s="1"/>
  <c r="K55" i="87"/>
  <c r="H55" i="87"/>
  <c r="K54" i="87"/>
  <c r="H54" i="87"/>
  <c r="K53" i="87"/>
  <c r="H53" i="87"/>
  <c r="K52" i="87"/>
  <c r="H52" i="87"/>
  <c r="K51" i="87"/>
  <c r="H51" i="87"/>
  <c r="K50" i="87"/>
  <c r="L41" i="87"/>
  <c r="J41" i="87"/>
  <c r="G41" i="87"/>
  <c r="F41" i="87"/>
  <c r="I40" i="87"/>
  <c r="K40" i="87" s="1"/>
  <c r="K41" i="87" s="1"/>
  <c r="E40" i="87"/>
  <c r="H40" i="87" s="1"/>
  <c r="H41" i="87" s="1"/>
  <c r="G38" i="87"/>
  <c r="K37" i="87"/>
  <c r="H37" i="87"/>
  <c r="K36" i="87"/>
  <c r="H36" i="87"/>
  <c r="L36" i="87" s="1"/>
  <c r="K35" i="87"/>
  <c r="H35" i="87"/>
  <c r="K34" i="87"/>
  <c r="H34" i="87"/>
  <c r="K33" i="87"/>
  <c r="H33" i="87"/>
  <c r="K32" i="87"/>
  <c r="H32" i="87"/>
  <c r="K31" i="87"/>
  <c r="L31" i="87" s="1"/>
  <c r="H31" i="87"/>
  <c r="K30" i="87"/>
  <c r="H30" i="87"/>
  <c r="K29" i="87"/>
  <c r="E29" i="87"/>
  <c r="H29" i="87" s="1"/>
  <c r="K28" i="87"/>
  <c r="E28" i="87"/>
  <c r="H28" i="87" s="1"/>
  <c r="K27" i="87"/>
  <c r="L27" i="87" s="1"/>
  <c r="H27" i="87"/>
  <c r="K26" i="87"/>
  <c r="F26" i="87"/>
  <c r="F38" i="87" s="1"/>
  <c r="F42" i="87" s="1"/>
  <c r="E26" i="87"/>
  <c r="H26" i="87" s="1"/>
  <c r="L26" i="87" s="1"/>
  <c r="J25" i="87"/>
  <c r="K25" i="87" s="1"/>
  <c r="E25" i="87"/>
  <c r="H25" i="87" s="1"/>
  <c r="K24" i="87"/>
  <c r="H24" i="87"/>
  <c r="K23" i="87"/>
  <c r="H23" i="87"/>
  <c r="K22" i="87"/>
  <c r="E22" i="87"/>
  <c r="H22" i="87" s="1"/>
  <c r="I21" i="87"/>
  <c r="K21" i="87" s="1"/>
  <c r="E21" i="87"/>
  <c r="H21" i="87" s="1"/>
  <c r="I20" i="87"/>
  <c r="K20" i="87" s="1"/>
  <c r="E20" i="87"/>
  <c r="H20" i="87" s="1"/>
  <c r="I19" i="87"/>
  <c r="K19" i="87" s="1"/>
  <c r="E19" i="87"/>
  <c r="H19" i="87" s="1"/>
  <c r="J18" i="87"/>
  <c r="J38" i="87" s="1"/>
  <c r="I18" i="87"/>
  <c r="E18" i="87"/>
  <c r="H18" i="87" s="1"/>
  <c r="K17" i="87"/>
  <c r="E17" i="87"/>
  <c r="H17" i="87" s="1"/>
  <c r="K16" i="87"/>
  <c r="H16" i="87"/>
  <c r="K15" i="87"/>
  <c r="E15" i="87"/>
  <c r="H15" i="87" s="1"/>
  <c r="K14" i="87"/>
  <c r="E14" i="87"/>
  <c r="H14" i="87" s="1"/>
  <c r="I13" i="87"/>
  <c r="K13" i="87" s="1"/>
  <c r="E13" i="87"/>
  <c r="H13" i="87" s="1"/>
  <c r="L24" i="87" l="1"/>
  <c r="L32" i="87"/>
  <c r="L34" i="87"/>
  <c r="K18" i="87"/>
  <c r="K38" i="87" s="1"/>
  <c r="K42" i="87" s="1"/>
  <c r="I41" i="87"/>
  <c r="J127" i="88"/>
  <c r="L127" i="88" s="1"/>
  <c r="L125" i="88"/>
  <c r="L137" i="88"/>
  <c r="J139" i="88"/>
  <c r="L139" i="88" s="1"/>
  <c r="J121" i="88"/>
  <c r="L121" i="88" s="1"/>
  <c r="L119" i="88"/>
  <c r="L101" i="88"/>
  <c r="J103" i="88"/>
  <c r="L103" i="88" s="1"/>
  <c r="L104" i="88"/>
  <c r="J106" i="88"/>
  <c r="L106" i="88" s="1"/>
  <c r="L126" i="88"/>
  <c r="L174" i="88" s="1"/>
  <c r="J174" i="88"/>
  <c r="L113" i="88"/>
  <c r="J115" i="88"/>
  <c r="L115" i="88" s="1"/>
  <c r="L110" i="88"/>
  <c r="J112" i="88"/>
  <c r="L112" i="88" s="1"/>
  <c r="J173" i="88"/>
  <c r="J100" i="88"/>
  <c r="L100" i="88" s="1"/>
  <c r="L98" i="88"/>
  <c r="J88" i="88"/>
  <c r="J90" i="88" s="1"/>
  <c r="J15" i="88"/>
  <c r="L15" i="88" s="1"/>
  <c r="L13" i="88"/>
  <c r="L16" i="88"/>
  <c r="J18" i="88"/>
  <c r="L18" i="88" s="1"/>
  <c r="J42" i="88"/>
  <c r="L42" i="88" s="1"/>
  <c r="L40" i="88"/>
  <c r="L28" i="88"/>
  <c r="J30" i="88"/>
  <c r="L30" i="88" s="1"/>
  <c r="J36" i="88"/>
  <c r="L36" i="88" s="1"/>
  <c r="L34" i="88"/>
  <c r="L25" i="88"/>
  <c r="J27" i="88"/>
  <c r="L27" i="88" s="1"/>
  <c r="L52" i="88"/>
  <c r="J54" i="88"/>
  <c r="L54" i="88" s="1"/>
  <c r="K167" i="86"/>
  <c r="K101" i="86"/>
  <c r="K110" i="86"/>
  <c r="K38" i="86"/>
  <c r="H122" i="86"/>
  <c r="H87" i="86"/>
  <c r="H89" i="86" s="1"/>
  <c r="K37" i="86"/>
  <c r="K58" i="86"/>
  <c r="K59" i="86" s="1"/>
  <c r="K65" i="86"/>
  <c r="K78" i="86"/>
  <c r="J171" i="86"/>
  <c r="J173" i="86" s="1"/>
  <c r="K45" i="86"/>
  <c r="F171" i="86"/>
  <c r="F98" i="86"/>
  <c r="K118" i="86"/>
  <c r="K124" i="86"/>
  <c r="H128" i="86"/>
  <c r="K142" i="86"/>
  <c r="K147" i="86"/>
  <c r="K149" i="86" s="1"/>
  <c r="K156" i="86"/>
  <c r="K158" i="86" s="1"/>
  <c r="K159" i="86"/>
  <c r="K161" i="86" s="1"/>
  <c r="K162" i="86"/>
  <c r="K39" i="86"/>
  <c r="K46" i="86"/>
  <c r="K66" i="86"/>
  <c r="K68" i="86" s="1"/>
  <c r="K79" i="86"/>
  <c r="K105" i="86"/>
  <c r="K107" i="86" s="1"/>
  <c r="H119" i="86"/>
  <c r="F125" i="86"/>
  <c r="H172" i="86"/>
  <c r="K143" i="86"/>
  <c r="I171" i="86"/>
  <c r="I173" i="86" s="1"/>
  <c r="F113" i="86"/>
  <c r="G125" i="86"/>
  <c r="H164" i="86"/>
  <c r="K117" i="86"/>
  <c r="K121" i="86"/>
  <c r="K122" i="86" s="1"/>
  <c r="K127" i="86"/>
  <c r="K128" i="86" s="1"/>
  <c r="J134" i="86"/>
  <c r="K138" i="86"/>
  <c r="K140" i="86" s="1"/>
  <c r="F161" i="86"/>
  <c r="K163" i="86"/>
  <c r="K96" i="86"/>
  <c r="K123" i="86"/>
  <c r="K129" i="86"/>
  <c r="K132" i="86"/>
  <c r="K134" i="86" s="1"/>
  <c r="K135" i="86"/>
  <c r="K137" i="86" s="1"/>
  <c r="K145" i="86"/>
  <c r="K146" i="86" s="1"/>
  <c r="K150" i="86"/>
  <c r="K152" i="86" s="1"/>
  <c r="F158" i="86"/>
  <c r="K168" i="86"/>
  <c r="K170" i="86" s="1"/>
  <c r="H171" i="86"/>
  <c r="F172" i="86"/>
  <c r="G98" i="86"/>
  <c r="K130" i="86"/>
  <c r="I164" i="86"/>
  <c r="F167" i="86"/>
  <c r="G172" i="86"/>
  <c r="G173" i="86" s="1"/>
  <c r="K114" i="86"/>
  <c r="K116" i="86" s="1"/>
  <c r="F65" i="86"/>
  <c r="G88" i="86"/>
  <c r="G89" i="86" s="1"/>
  <c r="K40" i="86"/>
  <c r="K41" i="86" s="1"/>
  <c r="K42" i="86"/>
  <c r="K48" i="86"/>
  <c r="K51" i="86"/>
  <c r="K53" i="86" s="1"/>
  <c r="I87" i="86"/>
  <c r="I89" i="86" s="1"/>
  <c r="K69" i="86"/>
  <c r="K71" i="86" s="1"/>
  <c r="K81" i="86"/>
  <c r="K83" i="86" s="1"/>
  <c r="F87" i="86"/>
  <c r="F38" i="86"/>
  <c r="F41" i="86"/>
  <c r="K43" i="86"/>
  <c r="K75" i="86"/>
  <c r="K77" i="86" s="1"/>
  <c r="F88" i="86"/>
  <c r="K28" i="86"/>
  <c r="K88" i="86" s="1"/>
  <c r="K30" i="86"/>
  <c r="K32" i="86" s="1"/>
  <c r="F14" i="86"/>
  <c r="K21" i="86"/>
  <c r="K23" i="86" s="1"/>
  <c r="H23" i="86"/>
  <c r="K27" i="86"/>
  <c r="J29" i="86"/>
  <c r="K34" i="86"/>
  <c r="K49" i="86"/>
  <c r="F68" i="86"/>
  <c r="H80" i="86"/>
  <c r="G14" i="86"/>
  <c r="K14" i="86"/>
  <c r="K33" i="86"/>
  <c r="K54" i="86"/>
  <c r="K56" i="86" s="1"/>
  <c r="I65" i="86"/>
  <c r="F77" i="86"/>
  <c r="F83" i="86"/>
  <c r="K61" i="86"/>
  <c r="K62" i="86" s="1"/>
  <c r="F74" i="86"/>
  <c r="K84" i="86"/>
  <c r="K86" i="86" s="1"/>
  <c r="J42" i="87"/>
  <c r="L23" i="87"/>
  <c r="L25" i="87"/>
  <c r="E75" i="87"/>
  <c r="G79" i="87"/>
  <c r="I75" i="87"/>
  <c r="I79" i="87" s="1"/>
  <c r="K75" i="87"/>
  <c r="K79" i="87" s="1"/>
  <c r="E78" i="87"/>
  <c r="H50" i="87"/>
  <c r="H75" i="87" s="1"/>
  <c r="H79" i="87" s="1"/>
  <c r="I38" i="87"/>
  <c r="I42" i="87" s="1"/>
  <c r="L33" i="87"/>
  <c r="L35" i="87"/>
  <c r="L30" i="87"/>
  <c r="L37" i="87"/>
  <c r="G42" i="87"/>
  <c r="H38" i="87"/>
  <c r="H42" i="87" s="1"/>
  <c r="E38" i="87"/>
  <c r="E41" i="87"/>
  <c r="L173" i="88" l="1"/>
  <c r="L175" i="88" s="1"/>
  <c r="J175" i="88"/>
  <c r="L88" i="88"/>
  <c r="L90" i="88" s="1"/>
  <c r="K164" i="86"/>
  <c r="F173" i="86"/>
  <c r="K47" i="86"/>
  <c r="K80" i="86"/>
  <c r="K44" i="86"/>
  <c r="K50" i="86"/>
  <c r="H173" i="86"/>
  <c r="K125" i="86"/>
  <c r="K119" i="86"/>
  <c r="K171" i="86"/>
  <c r="K98" i="86"/>
  <c r="K172" i="86"/>
  <c r="K131" i="86"/>
  <c r="F89" i="86"/>
  <c r="K35" i="86"/>
  <c r="K29" i="86"/>
  <c r="K87" i="86"/>
  <c r="K89" i="86" s="1"/>
  <c r="L75" i="87"/>
  <c r="L79" i="87" s="1"/>
  <c r="E79" i="87"/>
  <c r="L38" i="87"/>
  <c r="L42" i="87" s="1"/>
  <c r="E42" i="87"/>
  <c r="K173" i="86" l="1"/>
  <c r="E63" i="39" l="1"/>
  <c r="E58" i="39"/>
  <c r="O39" i="39"/>
  <c r="E39" i="39"/>
  <c r="E58" i="53"/>
  <c r="O67" i="53"/>
  <c r="E45" i="63"/>
  <c r="P47" i="53"/>
  <c r="N13" i="53"/>
  <c r="F18" i="63" l="1"/>
  <c r="F19" i="63"/>
  <c r="F20" i="63"/>
  <c r="F21" i="63"/>
  <c r="F22" i="63"/>
  <c r="F23" i="63"/>
  <c r="F24" i="63"/>
  <c r="F25" i="63"/>
  <c r="F26" i="63"/>
  <c r="G20" i="39" l="1"/>
  <c r="H20" i="54"/>
  <c r="K150" i="79" l="1"/>
  <c r="J150" i="79"/>
  <c r="H150" i="79"/>
  <c r="G150" i="79"/>
  <c r="F150" i="79"/>
  <c r="L149" i="79"/>
  <c r="L148" i="79"/>
  <c r="K147" i="79"/>
  <c r="J147" i="79"/>
  <c r="H147" i="79"/>
  <c r="G147" i="79"/>
  <c r="F147" i="79"/>
  <c r="L146" i="79"/>
  <c r="I145" i="79"/>
  <c r="K144" i="79"/>
  <c r="J144" i="79"/>
  <c r="H144" i="79"/>
  <c r="G144" i="79"/>
  <c r="F144" i="79"/>
  <c r="L143" i="79"/>
  <c r="L142" i="79"/>
  <c r="K141" i="79"/>
  <c r="J141" i="79"/>
  <c r="H141" i="79"/>
  <c r="G141" i="79"/>
  <c r="F141" i="79"/>
  <c r="L140" i="79"/>
  <c r="I139" i="79"/>
  <c r="K138" i="79"/>
  <c r="J138" i="79"/>
  <c r="H138" i="79"/>
  <c r="G138" i="79"/>
  <c r="F138" i="79"/>
  <c r="L137" i="79"/>
  <c r="L136" i="79"/>
  <c r="I141" i="79" l="1"/>
  <c r="I147" i="79"/>
  <c r="L138" i="79"/>
  <c r="L150" i="79"/>
  <c r="I151" i="79"/>
  <c r="I154" i="79" s="1"/>
  <c r="L144" i="79"/>
  <c r="I150" i="79"/>
  <c r="I144" i="79"/>
  <c r="L145" i="79"/>
  <c r="L147" i="79" s="1"/>
  <c r="I138" i="79"/>
  <c r="L139" i="79"/>
  <c r="L141" i="79" l="1"/>
  <c r="K78" i="79"/>
  <c r="J78" i="79"/>
  <c r="I78" i="79"/>
  <c r="H78" i="79"/>
  <c r="G78" i="79"/>
  <c r="F78" i="79"/>
  <c r="L77" i="79"/>
  <c r="L76" i="79"/>
  <c r="L73" i="79"/>
  <c r="L78" i="79" l="1"/>
  <c r="K45" i="79" l="1"/>
  <c r="K42" i="79"/>
  <c r="K39" i="79"/>
  <c r="K36" i="79"/>
  <c r="K33" i="79"/>
  <c r="K30" i="79"/>
  <c r="K27" i="79"/>
  <c r="K24" i="79"/>
  <c r="K21" i="79"/>
  <c r="K18" i="79"/>
  <c r="L23" i="79"/>
  <c r="L22" i="79"/>
  <c r="L20" i="79"/>
  <c r="L19" i="79"/>
  <c r="L17" i="79"/>
  <c r="L16" i="79"/>
  <c r="E28" i="55" l="1"/>
  <c r="F17" i="63" l="1"/>
  <c r="D27" i="63"/>
  <c r="E27" i="63"/>
  <c r="C27" i="63"/>
  <c r="N46" i="53" l="1"/>
  <c r="F15" i="64" l="1"/>
  <c r="D31" i="55" l="1"/>
  <c r="E31" i="55"/>
  <c r="C31" i="55"/>
  <c r="F18" i="55" l="1"/>
  <c r="F19" i="55"/>
  <c r="F20" i="55"/>
  <c r="F21" i="55"/>
  <c r="F22" i="55"/>
  <c r="F23" i="55"/>
  <c r="F24" i="55"/>
  <c r="F25" i="55"/>
  <c r="F26" i="55"/>
  <c r="F10" i="55"/>
  <c r="F11" i="55"/>
  <c r="F12" i="55"/>
  <c r="F14" i="55"/>
  <c r="F15" i="55"/>
  <c r="F16" i="55"/>
  <c r="F17" i="55"/>
  <c r="F27" i="55"/>
  <c r="H156" i="79" l="1"/>
  <c r="K156" i="79"/>
  <c r="G156" i="79"/>
  <c r="J156" i="79"/>
  <c r="I156" i="79" l="1"/>
  <c r="K153" i="79" l="1"/>
  <c r="J153" i="79"/>
  <c r="I153" i="79"/>
  <c r="H153" i="79"/>
  <c r="G153" i="79"/>
  <c r="F153" i="79"/>
  <c r="L152" i="79"/>
  <c r="L151" i="79"/>
  <c r="L154" i="79" s="1"/>
  <c r="L156" i="79" s="1"/>
  <c r="K117" i="79"/>
  <c r="J117" i="79"/>
  <c r="I117" i="79"/>
  <c r="H117" i="79"/>
  <c r="G117" i="79"/>
  <c r="F117" i="79"/>
  <c r="L116" i="79"/>
  <c r="L115" i="79"/>
  <c r="K160" i="79"/>
  <c r="K161" i="79"/>
  <c r="K162" i="79"/>
  <c r="K69" i="79"/>
  <c r="K72" i="79"/>
  <c r="K75" i="79"/>
  <c r="K81" i="79"/>
  <c r="K84" i="79"/>
  <c r="K57" i="79"/>
  <c r="K60" i="79"/>
  <c r="K63" i="79"/>
  <c r="K66" i="79"/>
  <c r="K48" i="79"/>
  <c r="K51" i="79"/>
  <c r="K54" i="79"/>
  <c r="G162" i="79"/>
  <c r="H162" i="79"/>
  <c r="I162" i="79"/>
  <c r="J162" i="79"/>
  <c r="F162" i="79"/>
  <c r="F165" i="79" s="1"/>
  <c r="G161" i="79"/>
  <c r="H161" i="79"/>
  <c r="I161" i="79"/>
  <c r="J161" i="79"/>
  <c r="F161" i="79"/>
  <c r="D161" i="79"/>
  <c r="C161" i="79"/>
  <c r="C164" i="79" s="1"/>
  <c r="J160" i="79"/>
  <c r="I160" i="79"/>
  <c r="H160" i="79"/>
  <c r="G160" i="79"/>
  <c r="F160" i="79"/>
  <c r="L159" i="79"/>
  <c r="L158" i="79"/>
  <c r="J84" i="79"/>
  <c r="I84" i="79"/>
  <c r="H84" i="79"/>
  <c r="G84" i="79"/>
  <c r="F84" i="79"/>
  <c r="L83" i="79"/>
  <c r="L82" i="79"/>
  <c r="J81" i="79"/>
  <c r="I81" i="79"/>
  <c r="H81" i="79"/>
  <c r="G81" i="79"/>
  <c r="F81" i="79"/>
  <c r="L80" i="79"/>
  <c r="L79" i="79"/>
  <c r="J75" i="79"/>
  <c r="I75" i="79"/>
  <c r="H75" i="79"/>
  <c r="G75" i="79"/>
  <c r="F75" i="79"/>
  <c r="L74" i="79"/>
  <c r="J72" i="79"/>
  <c r="I72" i="79"/>
  <c r="H72" i="79"/>
  <c r="G72" i="79"/>
  <c r="F72" i="79"/>
  <c r="L71" i="79"/>
  <c r="L70" i="79"/>
  <c r="J69" i="79"/>
  <c r="I69" i="79"/>
  <c r="H69" i="79"/>
  <c r="G69" i="79"/>
  <c r="F69" i="79"/>
  <c r="L68" i="79"/>
  <c r="L67" i="79"/>
  <c r="J66" i="79"/>
  <c r="I66" i="79"/>
  <c r="H66" i="79"/>
  <c r="G66" i="79"/>
  <c r="F66" i="79"/>
  <c r="L65" i="79"/>
  <c r="L64" i="79"/>
  <c r="J63" i="79"/>
  <c r="I63" i="79"/>
  <c r="H63" i="79"/>
  <c r="G63" i="79"/>
  <c r="F63" i="79"/>
  <c r="L62" i="79"/>
  <c r="L61" i="79"/>
  <c r="J60" i="79"/>
  <c r="I60" i="79"/>
  <c r="H60" i="79"/>
  <c r="G60" i="79"/>
  <c r="F60" i="79"/>
  <c r="J57" i="79"/>
  <c r="I57" i="79"/>
  <c r="H57" i="79"/>
  <c r="G57" i="79"/>
  <c r="F57" i="79"/>
  <c r="L56" i="79"/>
  <c r="L55" i="79"/>
  <c r="J54" i="79"/>
  <c r="I54" i="79"/>
  <c r="H54" i="79"/>
  <c r="G54" i="79"/>
  <c r="F54" i="79"/>
  <c r="L53" i="79"/>
  <c r="L52" i="79"/>
  <c r="J51" i="79"/>
  <c r="I51" i="79"/>
  <c r="H51" i="79"/>
  <c r="G51" i="79"/>
  <c r="F51" i="79"/>
  <c r="L50" i="79"/>
  <c r="L49" i="79"/>
  <c r="J48" i="79"/>
  <c r="I48" i="79"/>
  <c r="H48" i="79"/>
  <c r="G48" i="79"/>
  <c r="F48" i="79"/>
  <c r="L47" i="79"/>
  <c r="L46" i="79"/>
  <c r="J45" i="79"/>
  <c r="I45" i="79"/>
  <c r="H45" i="79"/>
  <c r="G45" i="79"/>
  <c r="F45" i="79"/>
  <c r="L44" i="79"/>
  <c r="L43" i="79"/>
  <c r="J42" i="79"/>
  <c r="I42" i="79"/>
  <c r="H42" i="79"/>
  <c r="G42" i="79"/>
  <c r="F42" i="79"/>
  <c r="L41" i="79"/>
  <c r="L40" i="79"/>
  <c r="J39" i="79"/>
  <c r="I39" i="79"/>
  <c r="H39" i="79"/>
  <c r="G39" i="79"/>
  <c r="F39" i="79"/>
  <c r="L38" i="79"/>
  <c r="L37" i="79"/>
  <c r="J36" i="79"/>
  <c r="I36" i="79"/>
  <c r="H36" i="79"/>
  <c r="G36" i="79"/>
  <c r="F36" i="79"/>
  <c r="L35" i="79"/>
  <c r="L34" i="79"/>
  <c r="J33" i="79"/>
  <c r="I33" i="79"/>
  <c r="H33" i="79"/>
  <c r="G33" i="79"/>
  <c r="F33" i="79"/>
  <c r="L32" i="79"/>
  <c r="L31" i="79"/>
  <c r="J30" i="79"/>
  <c r="I30" i="79"/>
  <c r="H30" i="79"/>
  <c r="G30" i="79"/>
  <c r="F30" i="79"/>
  <c r="L29" i="79"/>
  <c r="L28" i="79"/>
  <c r="J27" i="79"/>
  <c r="I27" i="79"/>
  <c r="H27" i="79"/>
  <c r="G27" i="79"/>
  <c r="F27" i="79"/>
  <c r="L26" i="79"/>
  <c r="L25" i="79"/>
  <c r="J24" i="79"/>
  <c r="I24" i="79"/>
  <c r="H24" i="79"/>
  <c r="G24" i="79"/>
  <c r="F24" i="79"/>
  <c r="J21" i="79"/>
  <c r="I21" i="79"/>
  <c r="H21" i="79"/>
  <c r="G21" i="79"/>
  <c r="F21" i="79"/>
  <c r="J18" i="79"/>
  <c r="I18" i="79"/>
  <c r="H18" i="79"/>
  <c r="G18" i="79"/>
  <c r="F18" i="79"/>
  <c r="L162" i="79" l="1"/>
  <c r="K163" i="79"/>
  <c r="J165" i="79"/>
  <c r="L117" i="79"/>
  <c r="L153" i="79"/>
  <c r="G165" i="79"/>
  <c r="F164" i="79"/>
  <c r="F166" i="79" s="1"/>
  <c r="L160" i="79"/>
  <c r="I165" i="79"/>
  <c r="G164" i="79"/>
  <c r="D164" i="79"/>
  <c r="H164" i="79"/>
  <c r="J164" i="79"/>
  <c r="H165" i="79"/>
  <c r="K165" i="79"/>
  <c r="K164" i="79"/>
  <c r="I163" i="79"/>
  <c r="I164" i="79"/>
  <c r="J163" i="79"/>
  <c r="F163" i="79"/>
  <c r="H163" i="79"/>
  <c r="L161" i="79"/>
  <c r="G163" i="79"/>
  <c r="L51" i="79"/>
  <c r="L57" i="79"/>
  <c r="L69" i="79"/>
  <c r="L75" i="79"/>
  <c r="L48" i="79"/>
  <c r="L66" i="79"/>
  <c r="L54" i="79"/>
  <c r="L63" i="79"/>
  <c r="L84" i="79"/>
  <c r="L45" i="79"/>
  <c r="L81" i="79"/>
  <c r="L24" i="79"/>
  <c r="L42" i="79"/>
  <c r="L21" i="79"/>
  <c r="L33" i="79"/>
  <c r="L27" i="79"/>
  <c r="L72" i="79"/>
  <c r="L39" i="79"/>
  <c r="L18" i="79"/>
  <c r="L36" i="79"/>
  <c r="L30" i="79"/>
  <c r="G166" i="79" l="1"/>
  <c r="L165" i="79"/>
  <c r="J166" i="79"/>
  <c r="I166" i="79"/>
  <c r="L164" i="79"/>
  <c r="H166" i="79"/>
  <c r="K166" i="79"/>
  <c r="L163" i="79"/>
  <c r="L166" i="79" l="1"/>
  <c r="C19" i="64" l="1"/>
  <c r="D37" i="63"/>
  <c r="D38" i="63" s="1"/>
  <c r="E37" i="63"/>
  <c r="C37" i="63"/>
  <c r="C38" i="63" s="1"/>
  <c r="F33" i="63"/>
  <c r="F34" i="63"/>
  <c r="F35" i="63"/>
  <c r="F15" i="63"/>
  <c r="F16" i="63"/>
  <c r="D28" i="55"/>
  <c r="D32" i="55" s="1"/>
  <c r="C28" i="55"/>
  <c r="F18" i="64"/>
  <c r="F28" i="55" l="1"/>
  <c r="G18" i="39" l="1"/>
  <c r="F20" i="39"/>
  <c r="H20" i="39" s="1"/>
  <c r="F18" i="39"/>
  <c r="G55" i="53" l="1"/>
  <c r="N29" i="53" l="1"/>
  <c r="F44" i="63" l="1"/>
  <c r="F41" i="63"/>
  <c r="F43" i="63"/>
  <c r="F42" i="63"/>
  <c r="F30" i="63"/>
  <c r="F31" i="63"/>
  <c r="F32" i="63"/>
  <c r="F14" i="63"/>
  <c r="F13" i="63"/>
  <c r="F11" i="64"/>
  <c r="E46" i="63"/>
  <c r="D45" i="63"/>
  <c r="D46" i="63" s="1"/>
  <c r="C45" i="63"/>
  <c r="C46" i="63" s="1"/>
  <c r="F46" i="63" l="1"/>
  <c r="F27" i="63"/>
  <c r="F37" i="63"/>
  <c r="F45" i="63"/>
  <c r="E38" i="63"/>
  <c r="C47" i="63"/>
  <c r="D47" i="63"/>
  <c r="E47" i="63" l="1"/>
  <c r="F47" i="63" s="1"/>
  <c r="F38" i="63"/>
  <c r="E19" i="64" l="1"/>
  <c r="H43" i="53" l="1"/>
  <c r="H47" i="53"/>
  <c r="H51" i="53"/>
  <c r="F17" i="54" l="1"/>
  <c r="H66" i="53" l="1"/>
  <c r="N64" i="53" l="1"/>
  <c r="N42" i="53"/>
  <c r="N41" i="53" s="1"/>
  <c r="F50" i="53"/>
  <c r="F46" i="53"/>
  <c r="F42" i="53"/>
  <c r="F25" i="53"/>
  <c r="F21" i="53"/>
  <c r="F13" i="53"/>
  <c r="N40" i="54"/>
  <c r="N39" i="54" s="1"/>
  <c r="N21" i="54"/>
  <c r="N17" i="54"/>
  <c r="N13" i="54"/>
  <c r="F40" i="54"/>
  <c r="F39" i="54" s="1"/>
  <c r="F21" i="54"/>
  <c r="F13" i="54"/>
  <c r="F12" i="54" l="1"/>
  <c r="F41" i="53"/>
  <c r="N12" i="54"/>
  <c r="F12" i="53"/>
  <c r="F31" i="55" l="1"/>
  <c r="F12" i="64" l="1"/>
  <c r="F13" i="64"/>
  <c r="F14" i="64"/>
  <c r="F16" i="64"/>
  <c r="F17" i="64"/>
  <c r="D19" i="64"/>
  <c r="F19" i="64" s="1"/>
  <c r="F30" i="55" l="1"/>
  <c r="P57" i="39" l="1"/>
  <c r="P62" i="39" s="1"/>
  <c r="P56" i="39"/>
  <c r="H65" i="53" l="1"/>
  <c r="P65" i="53"/>
  <c r="P66" i="53"/>
  <c r="P43" i="53"/>
  <c r="P33" i="53"/>
  <c r="P32" i="53"/>
  <c r="P31" i="53"/>
  <c r="P30" i="53"/>
  <c r="P23" i="53"/>
  <c r="P22" i="53"/>
  <c r="P19" i="53"/>
  <c r="P18" i="53"/>
  <c r="P15" i="53"/>
  <c r="P14" i="53"/>
  <c r="H26" i="53"/>
  <c r="H22" i="53"/>
  <c r="H14" i="53"/>
  <c r="P41" i="54"/>
  <c r="P22" i="54"/>
  <c r="P18" i="54"/>
  <c r="P14" i="54"/>
  <c r="H64" i="54"/>
  <c r="H63" i="54"/>
  <c r="H22" i="54"/>
  <c r="H14" i="54"/>
  <c r="O29" i="53"/>
  <c r="N21" i="53"/>
  <c r="O21" i="53"/>
  <c r="O13" i="53"/>
  <c r="N17" i="53"/>
  <c r="O17" i="53"/>
  <c r="P29" i="53" l="1"/>
  <c r="P13" i="53"/>
  <c r="P21" i="53"/>
  <c r="P17" i="53"/>
  <c r="N12" i="53"/>
  <c r="O12" i="53"/>
  <c r="P12" i="53" l="1"/>
  <c r="N14" i="39"/>
  <c r="N18" i="39"/>
  <c r="N22" i="39"/>
  <c r="N26" i="39"/>
  <c r="N30" i="39"/>
  <c r="N51" i="39"/>
  <c r="N50" i="39" s="1"/>
  <c r="N47" i="39"/>
  <c r="N43" i="39"/>
  <c r="N66" i="39"/>
  <c r="N64" i="39" s="1"/>
  <c r="O14" i="39"/>
  <c r="O18" i="39"/>
  <c r="O22" i="39"/>
  <c r="O26" i="39"/>
  <c r="O30" i="39"/>
  <c r="O51" i="39"/>
  <c r="O47" i="39"/>
  <c r="O43" i="39"/>
  <c r="O66" i="39"/>
  <c r="M14" i="39"/>
  <c r="M18" i="39"/>
  <c r="M22" i="39"/>
  <c r="M26" i="39"/>
  <c r="M30" i="39"/>
  <c r="M51" i="39"/>
  <c r="M47" i="39"/>
  <c r="M43" i="39"/>
  <c r="M66" i="39"/>
  <c r="M64" i="39" s="1"/>
  <c r="N15" i="39"/>
  <c r="N19" i="39"/>
  <c r="N23" i="39"/>
  <c r="N33" i="39"/>
  <c r="N27" i="39"/>
  <c r="N52" i="39"/>
  <c r="N48" i="39"/>
  <c r="N44" i="39"/>
  <c r="O15" i="39"/>
  <c r="P15" i="39" s="1"/>
  <c r="O19" i="39"/>
  <c r="O23" i="39"/>
  <c r="O33" i="39"/>
  <c r="O27" i="39"/>
  <c r="O52" i="39"/>
  <c r="O48" i="39"/>
  <c r="O46" i="39" s="1"/>
  <c r="O44" i="39"/>
  <c r="M15" i="39"/>
  <c r="M19" i="39"/>
  <c r="M23" i="39"/>
  <c r="M21" i="39" s="1"/>
  <c r="M33" i="39"/>
  <c r="M27" i="39"/>
  <c r="M52" i="39"/>
  <c r="M48" i="39"/>
  <c r="M46" i="39" s="1"/>
  <c r="M44" i="39"/>
  <c r="N16" i="39"/>
  <c r="N20" i="39"/>
  <c r="N24" i="39"/>
  <c r="N34" i="39"/>
  <c r="N53" i="39"/>
  <c r="N49" i="39"/>
  <c r="N45" i="39"/>
  <c r="O16" i="39"/>
  <c r="O20" i="39"/>
  <c r="O24" i="39"/>
  <c r="O34" i="39"/>
  <c r="O53" i="39"/>
  <c r="O49" i="39"/>
  <c r="O45" i="39"/>
  <c r="M16" i="39"/>
  <c r="M20" i="39"/>
  <c r="M24" i="39"/>
  <c r="M34" i="39"/>
  <c r="M53" i="39"/>
  <c r="M57" i="39" s="1"/>
  <c r="M49" i="39"/>
  <c r="M45" i="39"/>
  <c r="F26" i="39"/>
  <c r="F22" i="39"/>
  <c r="F14" i="39"/>
  <c r="F51" i="39"/>
  <c r="F47" i="39"/>
  <c r="F43" i="39"/>
  <c r="F65" i="39"/>
  <c r="F66" i="39"/>
  <c r="G26" i="39"/>
  <c r="G22" i="39"/>
  <c r="G14" i="39"/>
  <c r="G51" i="39"/>
  <c r="G47" i="39"/>
  <c r="G43" i="39"/>
  <c r="G65" i="39"/>
  <c r="G66" i="39"/>
  <c r="E26" i="39"/>
  <c r="E22" i="39"/>
  <c r="E18" i="39"/>
  <c r="E14" i="39"/>
  <c r="E51" i="39"/>
  <c r="E47" i="39"/>
  <c r="E43" i="39"/>
  <c r="E65" i="39"/>
  <c r="E66" i="39"/>
  <c r="F27" i="39"/>
  <c r="F23" i="39"/>
  <c r="F19" i="39"/>
  <c r="F15" i="39"/>
  <c r="F52" i="39"/>
  <c r="F48" i="39"/>
  <c r="F44" i="39"/>
  <c r="F28" i="39"/>
  <c r="F24" i="39"/>
  <c r="F16" i="39"/>
  <c r="F53" i="39"/>
  <c r="F49" i="39"/>
  <c r="F45" i="39"/>
  <c r="G27" i="39"/>
  <c r="G23" i="39"/>
  <c r="G19" i="39"/>
  <c r="G15" i="39"/>
  <c r="G52" i="39"/>
  <c r="G48" i="39"/>
  <c r="G44" i="39"/>
  <c r="G28" i="39"/>
  <c r="G24" i="39"/>
  <c r="G16" i="39"/>
  <c r="G53" i="39"/>
  <c r="G49" i="39"/>
  <c r="G45" i="39"/>
  <c r="E27" i="39"/>
  <c r="E23" i="39"/>
  <c r="E19" i="39"/>
  <c r="E15" i="39"/>
  <c r="E52" i="39"/>
  <c r="E48" i="39"/>
  <c r="E44" i="39"/>
  <c r="E28" i="39"/>
  <c r="E24" i="39"/>
  <c r="E20" i="39"/>
  <c r="E16" i="39"/>
  <c r="E53" i="39"/>
  <c r="E49" i="39"/>
  <c r="E45" i="39"/>
  <c r="N34" i="54"/>
  <c r="N53" i="54"/>
  <c r="N35" i="54"/>
  <c r="N54" i="54"/>
  <c r="N36" i="54"/>
  <c r="N55" i="54"/>
  <c r="O34" i="54"/>
  <c r="O53" i="54"/>
  <c r="O35" i="54"/>
  <c r="O54" i="54"/>
  <c r="O36" i="54"/>
  <c r="O60" i="54" s="1"/>
  <c r="O68" i="54" s="1"/>
  <c r="O55" i="54"/>
  <c r="M34" i="54"/>
  <c r="M53" i="54"/>
  <c r="M35" i="54"/>
  <c r="M59" i="54" s="1"/>
  <c r="M67" i="54" s="1"/>
  <c r="M54" i="54"/>
  <c r="M36" i="54"/>
  <c r="M55" i="54"/>
  <c r="G13" i="54"/>
  <c r="H13" i="54" s="1"/>
  <c r="G17" i="54"/>
  <c r="H17" i="54" s="1"/>
  <c r="G21" i="54"/>
  <c r="H21" i="54" s="1"/>
  <c r="G25" i="54"/>
  <c r="F34" i="54"/>
  <c r="F53" i="54"/>
  <c r="F35" i="54"/>
  <c r="F54" i="54"/>
  <c r="F36" i="54"/>
  <c r="F55" i="54"/>
  <c r="G34" i="54"/>
  <c r="G53" i="54"/>
  <c r="G35" i="54"/>
  <c r="G54" i="54"/>
  <c r="G36" i="54"/>
  <c r="G55" i="54"/>
  <c r="E34" i="54"/>
  <c r="E53" i="54"/>
  <c r="E35" i="54"/>
  <c r="E54" i="54"/>
  <c r="E59" i="54"/>
  <c r="E67" i="54" s="1"/>
  <c r="E36" i="54"/>
  <c r="E55" i="54"/>
  <c r="N36" i="53"/>
  <c r="N55" i="53"/>
  <c r="N37" i="53"/>
  <c r="N56" i="53"/>
  <c r="N38" i="53"/>
  <c r="N57" i="53"/>
  <c r="O36" i="53"/>
  <c r="O55" i="53"/>
  <c r="P55" i="53" s="1"/>
  <c r="O37" i="53"/>
  <c r="O56" i="53"/>
  <c r="O38" i="53"/>
  <c r="O57" i="53"/>
  <c r="P56" i="53"/>
  <c r="P57" i="53"/>
  <c r="P62" i="53" s="1"/>
  <c r="M36" i="53"/>
  <c r="M55" i="53"/>
  <c r="M37" i="53"/>
  <c r="M56" i="53"/>
  <c r="M38" i="53"/>
  <c r="M57" i="53"/>
  <c r="G36" i="53"/>
  <c r="G60" i="53" s="1"/>
  <c r="G37" i="53"/>
  <c r="G56" i="53"/>
  <c r="G38" i="53"/>
  <c r="G57" i="53"/>
  <c r="F36" i="53"/>
  <c r="F55" i="53"/>
  <c r="E36" i="53"/>
  <c r="E55" i="53"/>
  <c r="F38" i="53"/>
  <c r="F57" i="53"/>
  <c r="E37" i="53"/>
  <c r="E56" i="53"/>
  <c r="N32" i="39"/>
  <c r="N31" i="39"/>
  <c r="N28" i="39"/>
  <c r="O29" i="54"/>
  <c r="M29" i="54"/>
  <c r="N62" i="54"/>
  <c r="F62" i="54"/>
  <c r="F37" i="53"/>
  <c r="F56" i="53"/>
  <c r="F64" i="53"/>
  <c r="E38" i="53"/>
  <c r="E57" i="53"/>
  <c r="G44" i="54"/>
  <c r="G48" i="54"/>
  <c r="O44" i="54"/>
  <c r="O48" i="54"/>
  <c r="G64" i="53"/>
  <c r="E62" i="54"/>
  <c r="O25" i="54"/>
  <c r="O13" i="54"/>
  <c r="P13" i="54" s="1"/>
  <c r="O50" i="53"/>
  <c r="O46" i="53"/>
  <c r="P46" i="53" s="1"/>
  <c r="G50" i="53"/>
  <c r="H50" i="53" s="1"/>
  <c r="G46" i="53"/>
  <c r="H46" i="53" s="1"/>
  <c r="G25" i="53"/>
  <c r="H25" i="53" s="1"/>
  <c r="G17" i="53"/>
  <c r="O62" i="54"/>
  <c r="M62" i="54"/>
  <c r="G62" i="54"/>
  <c r="O40" i="54"/>
  <c r="P40" i="54" s="1"/>
  <c r="G40" i="54"/>
  <c r="O21" i="54"/>
  <c r="P21" i="54" s="1"/>
  <c r="O17" i="54"/>
  <c r="P17" i="54" s="1"/>
  <c r="G42" i="53"/>
  <c r="H42" i="53" s="1"/>
  <c r="O42" i="53"/>
  <c r="P42" i="53" s="1"/>
  <c r="O64" i="53"/>
  <c r="G21" i="53"/>
  <c r="H21" i="53" s="1"/>
  <c r="G13" i="53"/>
  <c r="O32" i="39"/>
  <c r="O31" i="39"/>
  <c r="O28" i="39"/>
  <c r="O25" i="39" s="1"/>
  <c r="M32" i="39"/>
  <c r="M31" i="39"/>
  <c r="M28" i="39"/>
  <c r="M48" i="54"/>
  <c r="M44" i="54"/>
  <c r="M40" i="54"/>
  <c r="M25" i="54"/>
  <c r="M21" i="54"/>
  <c r="M17" i="54"/>
  <c r="M13" i="54"/>
  <c r="E48" i="54"/>
  <c r="E44" i="54"/>
  <c r="E40" i="54"/>
  <c r="E25" i="54"/>
  <c r="E21" i="54"/>
  <c r="E17" i="54"/>
  <c r="M64" i="53"/>
  <c r="M50" i="53"/>
  <c r="M46" i="53"/>
  <c r="M42" i="53"/>
  <c r="E64" i="53"/>
  <c r="E50" i="53"/>
  <c r="E46" i="53"/>
  <c r="E42" i="53"/>
  <c r="M29" i="53"/>
  <c r="M25" i="53"/>
  <c r="M21" i="53"/>
  <c r="M17" i="53"/>
  <c r="M13" i="53"/>
  <c r="E25" i="53"/>
  <c r="E21" i="53"/>
  <c r="E17" i="53"/>
  <c r="E13" i="53"/>
  <c r="E13" i="54"/>
  <c r="M50" i="39" l="1"/>
  <c r="H36" i="54"/>
  <c r="E17" i="39"/>
  <c r="M54" i="53"/>
  <c r="M13" i="39"/>
  <c r="E50" i="39"/>
  <c r="G50" i="39"/>
  <c r="M62" i="53"/>
  <c r="M70" i="53" s="1"/>
  <c r="E33" i="54"/>
  <c r="E38" i="39"/>
  <c r="M38" i="39"/>
  <c r="M55" i="39"/>
  <c r="O50" i="39"/>
  <c r="F46" i="39"/>
  <c r="E42" i="39"/>
  <c r="G33" i="54"/>
  <c r="G13" i="39"/>
  <c r="P33" i="39"/>
  <c r="H66" i="39"/>
  <c r="H51" i="39"/>
  <c r="H47" i="39"/>
  <c r="E60" i="54"/>
  <c r="E68" i="54" s="1"/>
  <c r="F60" i="53"/>
  <c r="F68" i="53" s="1"/>
  <c r="F21" i="39"/>
  <c r="M25" i="39"/>
  <c r="F59" i="54"/>
  <c r="M17" i="39"/>
  <c r="E21" i="39"/>
  <c r="G17" i="39"/>
  <c r="E57" i="39"/>
  <c r="E62" i="39" s="1"/>
  <c r="E70" i="39" s="1"/>
  <c r="E12" i="54"/>
  <c r="G61" i="53"/>
  <c r="G69" i="53" s="1"/>
  <c r="G38" i="39"/>
  <c r="E46" i="39"/>
  <c r="G42" i="39"/>
  <c r="H43" i="39"/>
  <c r="M61" i="53"/>
  <c r="M69" i="53" s="1"/>
  <c r="O62" i="53"/>
  <c r="O70" i="53" s="1"/>
  <c r="G59" i="54"/>
  <c r="G67" i="54" s="1"/>
  <c r="O52" i="54"/>
  <c r="G57" i="39"/>
  <c r="F17" i="39"/>
  <c r="G41" i="53"/>
  <c r="H41" i="53" s="1"/>
  <c r="P32" i="39"/>
  <c r="P23" i="39"/>
  <c r="P36" i="53"/>
  <c r="M41" i="53"/>
  <c r="E35" i="53"/>
  <c r="H34" i="54"/>
  <c r="M42" i="39"/>
  <c r="M41" i="39" s="1"/>
  <c r="E39" i="54"/>
  <c r="M39" i="54"/>
  <c r="F54" i="53"/>
  <c r="G62" i="53"/>
  <c r="G70" i="53" s="1"/>
  <c r="G60" i="54"/>
  <c r="G68" i="54" s="1"/>
  <c r="F33" i="54"/>
  <c r="M33" i="54"/>
  <c r="E37" i="54" s="1"/>
  <c r="O59" i="54"/>
  <c r="O67" i="54" s="1"/>
  <c r="N58" i="54"/>
  <c r="O54" i="53"/>
  <c r="G12" i="54"/>
  <c r="H12" i="54" s="1"/>
  <c r="G56" i="39"/>
  <c r="G52" i="54"/>
  <c r="E62" i="53"/>
  <c r="E70" i="53" s="1"/>
  <c r="E54" i="53"/>
  <c r="M60" i="54"/>
  <c r="M68" i="54" s="1"/>
  <c r="N59" i="54"/>
  <c r="N67" i="54" s="1"/>
  <c r="P22" i="39"/>
  <c r="N42" i="39"/>
  <c r="G25" i="39"/>
  <c r="P31" i="39"/>
  <c r="N17" i="39"/>
  <c r="N61" i="53"/>
  <c r="N69" i="53" s="1"/>
  <c r="N35" i="53"/>
  <c r="H55" i="53"/>
  <c r="F25" i="39"/>
  <c r="H26" i="39"/>
  <c r="G37" i="39"/>
  <c r="M12" i="53"/>
  <c r="E55" i="39"/>
  <c r="F13" i="39"/>
  <c r="N52" i="54"/>
  <c r="P53" i="54"/>
  <c r="P43" i="39"/>
  <c r="P18" i="39"/>
  <c r="P14" i="39"/>
  <c r="H65" i="39"/>
  <c r="H22" i="39"/>
  <c r="F58" i="54"/>
  <c r="H14" i="39"/>
  <c r="O39" i="54"/>
  <c r="P39" i="54" s="1"/>
  <c r="O42" i="39"/>
  <c r="G64" i="39"/>
  <c r="E13" i="39"/>
  <c r="M62" i="39"/>
  <c r="O38" i="39"/>
  <c r="M36" i="39"/>
  <c r="E56" i="39"/>
  <c r="E25" i="39"/>
  <c r="F64" i="39"/>
  <c r="O57" i="39"/>
  <c r="M56" i="39"/>
  <c r="M29" i="39"/>
  <c r="O56" i="39"/>
  <c r="N46" i="39"/>
  <c r="N29" i="39"/>
  <c r="N36" i="39"/>
  <c r="H64" i="53"/>
  <c r="G46" i="39"/>
  <c r="G21" i="39"/>
  <c r="G54" i="53"/>
  <c r="G12" i="53"/>
  <c r="H12" i="53" s="1"/>
  <c r="H13" i="53"/>
  <c r="G35" i="53"/>
  <c r="H36" i="53"/>
  <c r="P64" i="53"/>
  <c r="O64" i="39"/>
  <c r="P64" i="39" s="1"/>
  <c r="P66" i="39"/>
  <c r="O41" i="53"/>
  <c r="P41" i="53" s="1"/>
  <c r="O17" i="39"/>
  <c r="P19" i="39"/>
  <c r="O61" i="53"/>
  <c r="P37" i="53"/>
  <c r="H62" i="54"/>
  <c r="G36" i="39"/>
  <c r="O29" i="39"/>
  <c r="P30" i="39"/>
  <c r="O55" i="39"/>
  <c r="O58" i="54"/>
  <c r="P34" i="54"/>
  <c r="E32" i="55"/>
  <c r="F32" i="55" s="1"/>
  <c r="C32" i="55"/>
  <c r="M12" i="54"/>
  <c r="M58" i="54"/>
  <c r="M57" i="54" s="1"/>
  <c r="E58" i="54"/>
  <c r="M60" i="53"/>
  <c r="M68" i="53" s="1"/>
  <c r="E41" i="53"/>
  <c r="E64" i="39"/>
  <c r="E60" i="53"/>
  <c r="E68" i="53" s="1"/>
  <c r="E61" i="53"/>
  <c r="E69" i="53" s="1"/>
  <c r="E69" i="39" s="1"/>
  <c r="M37" i="39"/>
  <c r="M35" i="53"/>
  <c r="E37" i="39"/>
  <c r="E12" i="53"/>
  <c r="E36" i="39"/>
  <c r="O33" i="54"/>
  <c r="O12" i="54"/>
  <c r="P12" i="54" s="1"/>
  <c r="G58" i="54"/>
  <c r="O21" i="39"/>
  <c r="O35" i="53"/>
  <c r="G55" i="39"/>
  <c r="G68" i="53"/>
  <c r="G67" i="53" s="1"/>
  <c r="N55" i="39"/>
  <c r="N60" i="54"/>
  <c r="N68" i="54" s="1"/>
  <c r="N56" i="39"/>
  <c r="N33" i="54"/>
  <c r="N13" i="39"/>
  <c r="F50" i="39"/>
  <c r="F42" i="39"/>
  <c r="F57" i="39"/>
  <c r="F52" i="54"/>
  <c r="N21" i="39"/>
  <c r="N37" i="39"/>
  <c r="N25" i="39"/>
  <c r="N38" i="39"/>
  <c r="F60" i="54"/>
  <c r="H60" i="54" s="1"/>
  <c r="F36" i="39"/>
  <c r="N62" i="53"/>
  <c r="N70" i="53" s="1"/>
  <c r="N60" i="53"/>
  <c r="N57" i="39"/>
  <c r="F62" i="53"/>
  <c r="F70" i="53" s="1"/>
  <c r="F55" i="39"/>
  <c r="F61" i="53"/>
  <c r="F69" i="53" s="1"/>
  <c r="F56" i="39"/>
  <c r="O13" i="39"/>
  <c r="O37" i="39"/>
  <c r="F37" i="39"/>
  <c r="F35" i="53"/>
  <c r="F38" i="39"/>
  <c r="O60" i="53"/>
  <c r="O36" i="39"/>
  <c r="G39" i="54"/>
  <c r="M52" i="54"/>
  <c r="E52" i="54"/>
  <c r="N54" i="53"/>
  <c r="P54" i="53" l="1"/>
  <c r="H50" i="39"/>
  <c r="H17" i="39"/>
  <c r="G58" i="53"/>
  <c r="H38" i="39"/>
  <c r="E41" i="39"/>
  <c r="M39" i="53"/>
  <c r="F39" i="53"/>
  <c r="H21" i="39"/>
  <c r="M54" i="39"/>
  <c r="M60" i="39"/>
  <c r="M68" i="39" s="1"/>
  <c r="E61" i="39"/>
  <c r="H46" i="39"/>
  <c r="G62" i="39"/>
  <c r="G70" i="39" s="1"/>
  <c r="F66" i="54"/>
  <c r="H58" i="54"/>
  <c r="G37" i="54"/>
  <c r="H33" i="54"/>
  <c r="H13" i="39"/>
  <c r="F37" i="54"/>
  <c r="M12" i="39"/>
  <c r="P35" i="53"/>
  <c r="G41" i="39"/>
  <c r="P17" i="39"/>
  <c r="E54" i="39"/>
  <c r="O62" i="39"/>
  <c r="E56" i="54"/>
  <c r="N12" i="39"/>
  <c r="M67" i="53"/>
  <c r="O57" i="54"/>
  <c r="N57" i="54"/>
  <c r="H54" i="53"/>
  <c r="G61" i="39"/>
  <c r="G69" i="39" s="1"/>
  <c r="G56" i="54"/>
  <c r="H42" i="39"/>
  <c r="O39" i="53"/>
  <c r="F41" i="39"/>
  <c r="F58" i="53"/>
  <c r="F12" i="39"/>
  <c r="M59" i="53"/>
  <c r="E12" i="39"/>
  <c r="N41" i="39"/>
  <c r="P42" i="39"/>
  <c r="G12" i="39"/>
  <c r="G59" i="53"/>
  <c r="N66" i="54"/>
  <c r="N65" i="54" s="1"/>
  <c r="P52" i="54"/>
  <c r="F56" i="54"/>
  <c r="M35" i="39"/>
  <c r="H25" i="39"/>
  <c r="F59" i="53"/>
  <c r="F35" i="39"/>
  <c r="N35" i="39"/>
  <c r="O54" i="39"/>
  <c r="P29" i="39"/>
  <c r="O41" i="39"/>
  <c r="F67" i="53"/>
  <c r="H60" i="53"/>
  <c r="H35" i="53"/>
  <c r="N60" i="39"/>
  <c r="N68" i="39" s="1"/>
  <c r="P13" i="39"/>
  <c r="H64" i="39"/>
  <c r="P21" i="39"/>
  <c r="O68" i="53"/>
  <c r="P60" i="53"/>
  <c r="O69" i="53"/>
  <c r="P69" i="53" s="1"/>
  <c r="P61" i="53"/>
  <c r="O61" i="39"/>
  <c r="P37" i="39"/>
  <c r="G54" i="39"/>
  <c r="H55" i="39"/>
  <c r="G35" i="39"/>
  <c r="H36" i="39"/>
  <c r="O35" i="39"/>
  <c r="P36" i="39"/>
  <c r="O66" i="54"/>
  <c r="O65" i="54" s="1"/>
  <c r="P58" i="54"/>
  <c r="O12" i="39"/>
  <c r="P33" i="54"/>
  <c r="M66" i="54"/>
  <c r="M65" i="54" s="1"/>
  <c r="E66" i="54"/>
  <c r="E57" i="54"/>
  <c r="E61" i="54" s="1"/>
  <c r="E67" i="53"/>
  <c r="E59" i="53"/>
  <c r="M61" i="39"/>
  <c r="M69" i="39" s="1"/>
  <c r="E60" i="39"/>
  <c r="E35" i="39"/>
  <c r="G57" i="54"/>
  <c r="G66" i="54"/>
  <c r="G60" i="39"/>
  <c r="F58" i="39"/>
  <c r="N54" i="39"/>
  <c r="N61" i="39"/>
  <c r="N69" i="39" s="1"/>
  <c r="F54" i="39"/>
  <c r="F62" i="39"/>
  <c r="H62" i="39" s="1"/>
  <c r="F68" i="54"/>
  <c r="H68" i="54" s="1"/>
  <c r="F57" i="54"/>
  <c r="N68" i="53"/>
  <c r="N59" i="53"/>
  <c r="N62" i="39"/>
  <c r="F61" i="39"/>
  <c r="F69" i="39" s="1"/>
  <c r="F60" i="39"/>
  <c r="F68" i="39" s="1"/>
  <c r="O59" i="53"/>
  <c r="O60" i="39"/>
  <c r="G58" i="39" l="1"/>
  <c r="F63" i="53"/>
  <c r="M67" i="39"/>
  <c r="G68" i="39"/>
  <c r="G67" i="39" s="1"/>
  <c r="H60" i="39"/>
  <c r="F70" i="39"/>
  <c r="P12" i="39"/>
  <c r="P57" i="54"/>
  <c r="H41" i="39"/>
  <c r="F61" i="54"/>
  <c r="F65" i="54"/>
  <c r="M63" i="53"/>
  <c r="P41" i="39"/>
  <c r="H12" i="39"/>
  <c r="F39" i="39"/>
  <c r="E65" i="54"/>
  <c r="E68" i="39"/>
  <c r="E67" i="39" s="1"/>
  <c r="N67" i="39"/>
  <c r="P60" i="39"/>
  <c r="N59" i="39"/>
  <c r="P59" i="53"/>
  <c r="H59" i="53"/>
  <c r="H35" i="39"/>
  <c r="H54" i="39"/>
  <c r="H67" i="53"/>
  <c r="H68" i="53"/>
  <c r="O69" i="39"/>
  <c r="P69" i="39" s="1"/>
  <c r="P61" i="39"/>
  <c r="N67" i="53"/>
  <c r="P68" i="53"/>
  <c r="G61" i="54"/>
  <c r="H57" i="54"/>
  <c r="G65" i="54"/>
  <c r="H66" i="54"/>
  <c r="P65" i="54"/>
  <c r="P66" i="54"/>
  <c r="P35" i="39"/>
  <c r="M59" i="39"/>
  <c r="E59" i="39"/>
  <c r="G59" i="39"/>
  <c r="O63" i="53"/>
  <c r="F59" i="39"/>
  <c r="O68" i="39"/>
  <c r="O59" i="39"/>
  <c r="H65" i="54" l="1"/>
  <c r="G63" i="39"/>
  <c r="F67" i="39"/>
  <c r="H67" i="39" s="1"/>
  <c r="H70" i="39"/>
  <c r="F63" i="39"/>
  <c r="P67" i="53"/>
  <c r="H59" i="39"/>
  <c r="H68" i="39"/>
  <c r="P59" i="39"/>
  <c r="O67" i="39"/>
  <c r="P67" i="39" s="1"/>
  <c r="P68" i="39"/>
</calcChain>
</file>

<file path=xl/sharedStrings.xml><?xml version="1.0" encoding="utf-8"?>
<sst xmlns="http://schemas.openxmlformats.org/spreadsheetml/2006/main" count="2055" uniqueCount="374">
  <si>
    <t>I.</t>
  </si>
  <si>
    <t>1.</t>
  </si>
  <si>
    <t>2.</t>
  </si>
  <si>
    <t>II.</t>
  </si>
  <si>
    <t>3.</t>
  </si>
  <si>
    <t>4.</t>
  </si>
  <si>
    <t>Közhatalmi bevételek</t>
  </si>
  <si>
    <t>5.</t>
  </si>
  <si>
    <t>Ellátottak pénzbeli juttatásai</t>
  </si>
  <si>
    <t>Sorszám</t>
  </si>
  <si>
    <t>Kötelező feladatok</t>
  </si>
  <si>
    <t>Állami (államigazgatási) feladatok</t>
  </si>
  <si>
    <t xml:space="preserve">Önként vállalt feladatok </t>
  </si>
  <si>
    <t>Egyéb működési célú kiadások</t>
  </si>
  <si>
    <t>Beruházások</t>
  </si>
  <si>
    <t>Felújítások</t>
  </si>
  <si>
    <t xml:space="preserve">Személyi juttatások </t>
  </si>
  <si>
    <t>Működési költségvetési kiadások összesen</t>
  </si>
  <si>
    <t>Felhalmozási költségvetési kiadások összesen</t>
  </si>
  <si>
    <t>Munkaadókat terhelő jár. és szoc. hozzájárulási adó</t>
  </si>
  <si>
    <t>Működési költségvetési kiadások</t>
  </si>
  <si>
    <t>Felhalmozási költségvetési kiadások</t>
  </si>
  <si>
    <t>Működési költségvetési bevételek összesen</t>
  </si>
  <si>
    <t>Felhalmozási költségvetési bevételek</t>
  </si>
  <si>
    <t>Felhalmozási bevételek</t>
  </si>
  <si>
    <t>Felhalmozási költségvetési bevételek összesen</t>
  </si>
  <si>
    <t xml:space="preserve"> költségvetési mérleg</t>
  </si>
  <si>
    <t>6.</t>
  </si>
  <si>
    <t>Önkormányzat bevételei mindösszesen</t>
  </si>
  <si>
    <t>Önkormányzat kiadásai mindösszesen</t>
  </si>
  <si>
    <t xml:space="preserve"> összevont költségvetési mérleg</t>
  </si>
  <si>
    <t>Dologi kiadások</t>
  </si>
  <si>
    <t>Működési bevételek</t>
  </si>
  <si>
    <t xml:space="preserve"> </t>
  </si>
  <si>
    <t>I+II.</t>
  </si>
  <si>
    <t>Költségvetési bevételek összesen</t>
  </si>
  <si>
    <t>Finanszírozási bevételek összesen</t>
  </si>
  <si>
    <t>Költségvetési kiadások összesen</t>
  </si>
  <si>
    <t>III.</t>
  </si>
  <si>
    <t>I-III</t>
  </si>
  <si>
    <t xml:space="preserve">Működési költségvetési bevételek </t>
  </si>
  <si>
    <t xml:space="preserve">I. MŰKÖDÉSI KÖLTSÉGVETÉS </t>
  </si>
  <si>
    <t>Bevételi előirányzatok</t>
  </si>
  <si>
    <t>Kiadási előirányzatok</t>
  </si>
  <si>
    <t>(bevételi előirányzatok és kiadási előirányzatok kiemelt előirányzatok szerinti bontásban)</t>
  </si>
  <si>
    <t xml:space="preserve">II. FELHALMOZÁSI KÖLTSÉGVETÉS </t>
  </si>
  <si>
    <t>Működési célú átvett pénzeszközök</t>
  </si>
  <si>
    <t>Felhalmozási célú átvett pénzeszközök</t>
  </si>
  <si>
    <t>Finanszírozási kiadások összesen</t>
  </si>
  <si>
    <t>K1</t>
  </si>
  <si>
    <t>K2</t>
  </si>
  <si>
    <t>K3</t>
  </si>
  <si>
    <t>K4</t>
  </si>
  <si>
    <t>K5</t>
  </si>
  <si>
    <t>B1</t>
  </si>
  <si>
    <t>K6</t>
  </si>
  <si>
    <t>K7</t>
  </si>
  <si>
    <t>K8</t>
  </si>
  <si>
    <t>Egyéb felhalmozási célú kiadások</t>
  </si>
  <si>
    <t>K6+K7+K8</t>
  </si>
  <si>
    <t>K9</t>
  </si>
  <si>
    <t>K1-K9</t>
  </si>
  <si>
    <t>B1-B8</t>
  </si>
  <si>
    <t>Költségvetési bevételek és kiadások egyenlege (hiány)</t>
  </si>
  <si>
    <t>Költségvetési bevételek és kiadások egyenlege (többlet)</t>
  </si>
  <si>
    <t>B8</t>
  </si>
  <si>
    <t>B2</t>
  </si>
  <si>
    <t>B3</t>
  </si>
  <si>
    <t>B4</t>
  </si>
  <si>
    <t>B5</t>
  </si>
  <si>
    <t>B6</t>
  </si>
  <si>
    <t>B7</t>
  </si>
  <si>
    <t xml:space="preserve">K1+K2+K3+K4+K5   </t>
  </si>
  <si>
    <t xml:space="preserve">B1+B3+B4+B6                   </t>
  </si>
  <si>
    <t>B2+B5+B7</t>
  </si>
  <si>
    <t>K1-K8</t>
  </si>
  <si>
    <t>B1-B7</t>
  </si>
  <si>
    <t>Maradvány igénybevétele</t>
  </si>
  <si>
    <t>Államháztartáson belüli megelőlegezések</t>
  </si>
  <si>
    <t>Államháztartáson belüli megelőlegezés visszafizetése</t>
  </si>
  <si>
    <t>Irányító szervi támogatás folyósítása</t>
  </si>
  <si>
    <t>7.</t>
  </si>
  <si>
    <t>8.</t>
  </si>
  <si>
    <t>EI.Csop.</t>
  </si>
  <si>
    <t>Kiem.EI.</t>
  </si>
  <si>
    <t>1.a</t>
  </si>
  <si>
    <t>1.b</t>
  </si>
  <si>
    <t xml:space="preserve">    - ebből általános tartalék</t>
  </si>
  <si>
    <t xml:space="preserve">    - ebből céltartalék</t>
  </si>
  <si>
    <t>Költségvetési működési bevételek és kiadások egyenlege (hiány)</t>
  </si>
  <si>
    <t>Költségvetési működési bevételek és kiadások egyenlege (többlet)</t>
  </si>
  <si>
    <t>Költségvetési felhalmozási bevételek és kiadások egyenlege (hiány)</t>
  </si>
  <si>
    <t>Költségvetési felhalmozási bevételek és kiadások egyenlege (többlet)</t>
  </si>
  <si>
    <t>9.</t>
  </si>
  <si>
    <t>beruházások, felújítások kiadásai beruházásonként</t>
  </si>
  <si>
    <t>F   e  l  a  d  a t</t>
  </si>
  <si>
    <t>Pályázat</t>
  </si>
  <si>
    <t>Bevétel</t>
  </si>
  <si>
    <t>Kiadás</t>
  </si>
  <si>
    <t>Önerő</t>
  </si>
  <si>
    <t>Címe</t>
  </si>
  <si>
    <t>Azonosító</t>
  </si>
  <si>
    <t>Működési</t>
  </si>
  <si>
    <t>Felhal-mozási</t>
  </si>
  <si>
    <t>Maradvány igénybevétel</t>
  </si>
  <si>
    <t>Összesen</t>
  </si>
  <si>
    <t xml:space="preserve">Működési </t>
  </si>
  <si>
    <t>EU-s forrásból</t>
  </si>
  <si>
    <t>Kiemelt előirányzat</t>
  </si>
  <si>
    <t>Mindösszesen</t>
  </si>
  <si>
    <t>Felhalmozási kiadások mindösszesen</t>
  </si>
  <si>
    <t>Foglalkoztatási Paktum</t>
  </si>
  <si>
    <t>Teljesítés %</t>
  </si>
  <si>
    <t>önként vállalt feladatai</t>
  </si>
  <si>
    <t>Feladat megnevezése</t>
  </si>
  <si>
    <t>Teljesítés %-a</t>
  </si>
  <si>
    <t>Sportfeladatok támogatása (Sportösztöndíj)</t>
  </si>
  <si>
    <t>Jogi, Ügyrendi és Társadalmi Kapcsolatok Bizottsága hatáskörében felhasználható keret</t>
  </si>
  <si>
    <t>Megyei Önkormányzatok Országos Szövetsége tagdíj</t>
  </si>
  <si>
    <t>Megyenapi rendezvény</t>
  </si>
  <si>
    <t>Önként vállalt feladatok összesen</t>
  </si>
  <si>
    <t>Kötelező feladat</t>
  </si>
  <si>
    <t>Kötelező feladat összesen</t>
  </si>
  <si>
    <t>Önként vállalt feladat</t>
  </si>
  <si>
    <t>Sor-szám</t>
  </si>
  <si>
    <t>Tisza-Tó Térségi Fejlesztési Tanács tagdíj</t>
  </si>
  <si>
    <t>Működési célú támogatások államháztartáson belülre</t>
  </si>
  <si>
    <t>Működési célú támogatások államháztartáson belülre kötelező feladatra összesen</t>
  </si>
  <si>
    <t>Működési célú támogatások államháztartáson kívülre</t>
  </si>
  <si>
    <t>Működési célú támogatások államháztartáson kívülre kötelező feladatra összesen</t>
  </si>
  <si>
    <t>Elnöki hatáskörben felhasználható keret kiemelt közoktatási, kulturális, közművelődési és sportfeladatokra</t>
  </si>
  <si>
    <t>10.</t>
  </si>
  <si>
    <t>11.</t>
  </si>
  <si>
    <t>Működési célú támogatások államháztartáson kívülre önként vállalt feladatra összesen</t>
  </si>
  <si>
    <t>Kötelező és önként vállalt feladat összesen</t>
  </si>
  <si>
    <t>Elismerésekkel, kitüntetésekkel járó pénzjutalom</t>
  </si>
  <si>
    <t>12.</t>
  </si>
  <si>
    <t>Bevételek - EU-s forrás</t>
  </si>
  <si>
    <t>Költségvetés</t>
  </si>
  <si>
    <t>Maradvány</t>
  </si>
  <si>
    <t>Önkormányzat</t>
  </si>
  <si>
    <t>Hivatal</t>
  </si>
  <si>
    <t>Kiadások</t>
  </si>
  <si>
    <t>Személyi</t>
  </si>
  <si>
    <t>Járulék</t>
  </si>
  <si>
    <t>Dologi</t>
  </si>
  <si>
    <t>Beruházás</t>
  </si>
  <si>
    <t>Hajdú-Bihar Megyei Diáksport és Szabadidő Egyesület támogatása</t>
  </si>
  <si>
    <t>maradvány megállapítása és igénybevétele</t>
  </si>
  <si>
    <t>Magyar Szürkék Útja</t>
  </si>
  <si>
    <t>Támogatás, tartalék</t>
  </si>
  <si>
    <t>Önkormányzati Hivatal bevételei mindösszesen</t>
  </si>
  <si>
    <t>Önkormányzati Hivatal kiadásai mindösszesen</t>
  </si>
  <si>
    <t>Magyar Szürkék Útja pályázat interaktív információs terminál (hardver és szoftver)</t>
  </si>
  <si>
    <t>13.</t>
  </si>
  <si>
    <t>európai uniós forrásból finanszírozott támogatással megvalósuló projektek bevételei és kiadásai</t>
  </si>
  <si>
    <t>OUR WAY</t>
  </si>
  <si>
    <t>PGI05077</t>
  </si>
  <si>
    <t>EUREGA</t>
  </si>
  <si>
    <t>PGI05254</t>
  </si>
  <si>
    <t>TOP-5.1.1-15-HB1-2016-00001</t>
  </si>
  <si>
    <t>TOP-1.2.1-15-HB1-2016-00020</t>
  </si>
  <si>
    <t>14.</t>
  </si>
  <si>
    <t>EFOP - Komádi</t>
  </si>
  <si>
    <t>EFOP-1.5.3-16-2017-00012</t>
  </si>
  <si>
    <t>15.</t>
  </si>
  <si>
    <t>16.</t>
  </si>
  <si>
    <t>EFOP - Hajdúhadház</t>
  </si>
  <si>
    <t>EFOP-1.5.3-16-2017-00121</t>
  </si>
  <si>
    <t>17.</t>
  </si>
  <si>
    <t>18.</t>
  </si>
  <si>
    <t>európai uniós forrásból finanszírozott támogatással megvalósuló projektek bevételei - részletes költségvetés</t>
  </si>
  <si>
    <t>Intenzitás</t>
  </si>
  <si>
    <t>európai uniós forrásból finanszírozott támogatással megvalósuló projektek kiadásai - részletes költségvetés</t>
  </si>
  <si>
    <t>működési célú támogatások államháztartáson belülre és kívülre</t>
  </si>
  <si>
    <t>RENATUR</t>
  </si>
  <si>
    <t>PGI05798</t>
  </si>
  <si>
    <t>SinCE-AFC</t>
  </si>
  <si>
    <t>PGI05967</t>
  </si>
  <si>
    <t>DelFin</t>
  </si>
  <si>
    <t>CE1374</t>
  </si>
  <si>
    <t>Healing Places</t>
  </si>
  <si>
    <t>CE1308</t>
  </si>
  <si>
    <t>Hajdú hagyományok nyomában</t>
  </si>
  <si>
    <t>TOP-5.3.2-17-HB1-2018-00001</t>
  </si>
  <si>
    <t>19.</t>
  </si>
  <si>
    <t>20.</t>
  </si>
  <si>
    <t>21.</t>
  </si>
  <si>
    <t>22.</t>
  </si>
  <si>
    <t>EFOP - Kaba</t>
  </si>
  <si>
    <t>EFOP-1.5.3-16-2017-00010</t>
  </si>
  <si>
    <t>23.</t>
  </si>
  <si>
    <t>EFOP - Hajdúböszörmény</t>
  </si>
  <si>
    <t>EFOP-1.5.3-16-2017-00014</t>
  </si>
  <si>
    <t>24.</t>
  </si>
  <si>
    <t>EFOP - Püspökladány</t>
  </si>
  <si>
    <t>EFOP-1.5.3-16-2017-00017</t>
  </si>
  <si>
    <t>25.</t>
  </si>
  <si>
    <t>EFOP - Hajdúnánás</t>
  </si>
  <si>
    <t>EFOP-1.5.3-16-2017-00021</t>
  </si>
  <si>
    <t>26.</t>
  </si>
  <si>
    <t>EFOP - Csökmő</t>
  </si>
  <si>
    <t>EFOP-1.5.3-16-2017-00023</t>
  </si>
  <si>
    <t>27.</t>
  </si>
  <si>
    <t>EFOP - Biharkeresztes</t>
  </si>
  <si>
    <t>EFOP-1.5.3-16-2017-00024</t>
  </si>
  <si>
    <t>28.</t>
  </si>
  <si>
    <t>EFOP - Esztár</t>
  </si>
  <si>
    <t>EFOP-1.5.3-16-2017-00058</t>
  </si>
  <si>
    <t>29.</t>
  </si>
  <si>
    <t>Magyar Szürkék Útja pályázat műszaki ellenőri költség</t>
  </si>
  <si>
    <t>EFOP-Berettyóújfalu</t>
  </si>
  <si>
    <t>EFOP-1.5.3-16-2017-00057</t>
  </si>
  <si>
    <t>Működési támogatás</t>
  </si>
  <si>
    <t>Felhalm. támogatás</t>
  </si>
  <si>
    <t>B1 rovat</t>
  </si>
  <si>
    <t>B6 rovat</t>
  </si>
  <si>
    <t xml:space="preserve">Maradvány </t>
  </si>
  <si>
    <t>Összege</t>
  </si>
  <si>
    <t>Renatur pályázat megvalósítása</t>
  </si>
  <si>
    <t>SinCe-AFC pályázat megvalósítása</t>
  </si>
  <si>
    <t>Felhasználása (igénybevétele)</t>
  </si>
  <si>
    <t>Magyar Szürkék Útja pályázat megvalósítása</t>
  </si>
  <si>
    <t>Hajdú hagyományok nyomában pályázat megvalósítása</t>
  </si>
  <si>
    <t>EFOP-1.5.3. - Hajdúböszörmény pályázat megvalósítása</t>
  </si>
  <si>
    <t>EFOP-1.5.3. - Püspökladány pályázat megvalósítása</t>
  </si>
  <si>
    <t>EFOP-1.5.3. - Hajdúnánás pályázat megvalósítása</t>
  </si>
  <si>
    <t>EFOP-1.5.3. - Csökmő pályázat megvalósítása</t>
  </si>
  <si>
    <t>EFOP-1.5.3. - Esztár pályázat megvalósítása</t>
  </si>
  <si>
    <t>EFOP-1.5.3. - Berettyóújfalu pályázat megvalósítása</t>
  </si>
  <si>
    <t>30.</t>
  </si>
  <si>
    <t>31.</t>
  </si>
  <si>
    <t>32.</t>
  </si>
  <si>
    <t>33.</t>
  </si>
  <si>
    <t>34.</t>
  </si>
  <si>
    <t>Aktív- és Ökoturisztikai Fejlesztési Központ NKft. - "A térségi jelentőségű kerékpárutak tervezése - Hajdú-Bihar Megye" pályázat megvalósítása</t>
  </si>
  <si>
    <t xml:space="preserve"> Maradvány felhasználása mindösszesen</t>
  </si>
  <si>
    <t>Finansz. kiadás</t>
  </si>
  <si>
    <t>35.</t>
  </si>
  <si>
    <t>36.</t>
  </si>
  <si>
    <t>37.</t>
  </si>
  <si>
    <t>38.</t>
  </si>
  <si>
    <t>39.</t>
  </si>
  <si>
    <t>Általános tartalék képzése</t>
  </si>
  <si>
    <t>40.</t>
  </si>
  <si>
    <t>41.</t>
  </si>
  <si>
    <t>Céltartalék képzése devizaárfolyam változásából eredő kockázatok fedezetére</t>
  </si>
  <si>
    <t>42.</t>
  </si>
  <si>
    <t>43.</t>
  </si>
  <si>
    <t>44.</t>
  </si>
  <si>
    <t>45.</t>
  </si>
  <si>
    <t>2021. évi teljesítés</t>
  </si>
  <si>
    <t>(Ft)</t>
  </si>
  <si>
    <t xml:space="preserve">Hajdú hagyományok nyomában pályázat kisfilmek készítése </t>
  </si>
  <si>
    <t>Radiátorok cseréje</t>
  </si>
  <si>
    <t>Agrárminisztérium - Ismered megyénk értékeit?-II. pályázat megyei értékeket bemutató kisfilmek beszerzése</t>
  </si>
  <si>
    <t>Hajdú-Bihar Megyei Vásárszövetség tagdíj</t>
  </si>
  <si>
    <t>Teljesí- tés %</t>
  </si>
  <si>
    <t>Felhalmozási célú támogatások államházt. belülről</t>
  </si>
  <si>
    <t>Működési célú támogatások államháztart. belülről</t>
  </si>
  <si>
    <t>Működési célú támogatások államházt. belülről</t>
  </si>
  <si>
    <t>"Maradj Hajdú-Biharban!" ösztöndíj tanulók, hallgatók támogatása  (EFOP - Kabai konzorcium)</t>
  </si>
  <si>
    <t>"Maradj Hajdú-Biharban!" ösztöndíj tanulók, hallgatók támogatása (EFOP - Püspökladányi konzorcium)</t>
  </si>
  <si>
    <t>"Maradj Hajdú-Biharban!" ösztöndíj tanulók, hallgatók támogatása  (EFOP - Hajdúnánási konzorcium)</t>
  </si>
  <si>
    <t>"Maradj Hajdú-Biharban!" ösztöndíj tanulók, hallgatók támogatása (EFOP - Csökmői konzorcium)</t>
  </si>
  <si>
    <t>"Maradj Hajdú-Biharban!" ösztöndíj tanulók, hallgatók támogatása (EFOP - Biharkeresztesi konzorcium)</t>
  </si>
  <si>
    <t>"Maradj Hajdú-Biharban!" ösztöndíj tanulók, hallgatók támogatása (EFOP - Esztári konzorcium)</t>
  </si>
  <si>
    <t>"Maradj Hajdú-Biharban!" ösztöndíj tanulók, hallgatók támogatása (EFOP - Berettyóújfalui konzorcium)</t>
  </si>
  <si>
    <t>Local Food Chains</t>
  </si>
  <si>
    <t>COS-SEM-2020-04-01</t>
  </si>
  <si>
    <t>Europe Direct Hajdú-Bihar</t>
  </si>
  <si>
    <t>2021-27 tervezés előkészítése</t>
  </si>
  <si>
    <t>TOP-1.5.1-20-2020-00013</t>
  </si>
  <si>
    <t>2021-27 tervezés előkészítése pályázat megvalósítása</t>
  </si>
  <si>
    <t>Elnöki hatáskörben felhasználható keret kiemelt közoktatási, kulturális, közművelődési és sportfeladatokra önként vállalt feladat</t>
  </si>
  <si>
    <t>Megyei Önkormányzatok Országos Szövetsége 2022. évi tagdíj</t>
  </si>
  <si>
    <t>Tisza-tó Térségi Fejlesztési Tanács 2022. évi tagdíj</t>
  </si>
  <si>
    <t>Hajdú-Bihar Megyei Vásárszövetség 2022. évi tagdíj</t>
  </si>
  <si>
    <t>Elismerésekkel, kitüntetésekkel járó pénzjutalom önként vállalt feladatra</t>
  </si>
  <si>
    <t>Kis- és nagyértékű tárgyi eszközök, informatikai eszközök, irodai bútorok beszerzése</t>
  </si>
  <si>
    <t>Our Way pályázat fel nem használt hazai társfinanszírozás visszautalása</t>
  </si>
  <si>
    <t>Our Way pályázat megelőlegezési támogatás visszautalása</t>
  </si>
  <si>
    <t>Delfin pályázat megelőlegezési támogatás visszautalása</t>
  </si>
  <si>
    <t>Delfin pályázat fel nem használt hazai társfinanszírozás visszautalása</t>
  </si>
  <si>
    <t>Healing Places pályázat megelőlegezési támogatás visszautalása</t>
  </si>
  <si>
    <t>Healing Places pályázat fel nem használt hazai társfinanszírozás visszautalása</t>
  </si>
  <si>
    <t>9. melléklet a …/2023. (…) önkormányzati rendelethez</t>
  </si>
  <si>
    <t>2022. évi zárszámadás</t>
  </si>
  <si>
    <t>2022. évi eredeti előirányzat</t>
  </si>
  <si>
    <t>2022. évi módosított előirányzat</t>
  </si>
  <si>
    <t>2022. évi teljesítés</t>
  </si>
  <si>
    <t>Kis- és nagyértékű tárgyi eszközök, informatikai eszközök, irodabútorok beszerzése</t>
  </si>
  <si>
    <t>Hajdúböszörmény - Hajdúvid - Hajdúdorog kerékpárút engedélyes és kiviteli terve</t>
  </si>
  <si>
    <t xml:space="preserve">Hajdúböszörmény - Debrecen (Józsa) kerékpárút engedélyes terve (két pályázatból finanszírozva) </t>
  </si>
  <si>
    <t>Magyar Szürkék Útja pályázat eszközbeszerzés (mobil színpad, rendezvénysátor, fény- és hangtechnika, árusító faházak, áramfejlesztő)</t>
  </si>
  <si>
    <t>Magyar Szürkék Útja pályázat televíziós műsorszolgáltatás (televízió műsor, videospot készítés, műsorközlés)</t>
  </si>
  <si>
    <t>Hajdú hagyományok nyomában pályázat eszközbeszerzés (projektorok, vetítéshez kapcsolódó eszközök, notebookok)</t>
  </si>
  <si>
    <t>Hajdú hagyományok nyomában pályázat fényfestés animációhoz zenei kíséret készítése</t>
  </si>
  <si>
    <t xml:space="preserve">Környezeti hatástanulmányok készítése (2021-27 tervezés előkészítése pályázat)  </t>
  </si>
  <si>
    <t>Healing Places pályázat - tematikus kisfilmek, projektzáró kisfilm beszerzése</t>
  </si>
  <si>
    <t>Debrecen, Piac utca 71. szám alatti ingatlan felújításával kapcsolatban felmerülő tervezési költségek, egyéb eszközbeszerzések</t>
  </si>
  <si>
    <t>Foglalkoztatási Paktum Plusz pályázat eszközbeszerzés (tárgyi, informatikai eszközök, immateriális javak)</t>
  </si>
  <si>
    <t>Együtt, közösségben Hajdú-Biharban pályázat eszközbeszerzés</t>
  </si>
  <si>
    <t>Europe Direct pályázat eszközbeszerzés</t>
  </si>
  <si>
    <t>8. melléklet a …/2023. (…) önkormányzati rendelethez</t>
  </si>
  <si>
    <t>7. melléklet a …/2023. (…) önkormányzati rendelethez</t>
  </si>
  <si>
    <t>Pénzügyminisztérium - Night Light pályázat megelőlegezési támogatásának visszautalása</t>
  </si>
  <si>
    <t>Pénzügyminisztérium - Night Light pályázat fel nem használt hazai társfinanszírozási támogatásának visszautalása</t>
  </si>
  <si>
    <t>Pénzügyminisztérium - OUR WAY pályázat megelőlegezési támogatásának visszautalása</t>
  </si>
  <si>
    <t>Pénzügyminisztérium - OUR WAY pályázat fel nem használt hazai társfinanszírozási támogatásának visszautalása</t>
  </si>
  <si>
    <t>Pénzügyminisztérium - EUREGA pályázat megelőlegezési támogatásának visszautalása</t>
  </si>
  <si>
    <t>Pénzügyminisztérium - EUREGA pályázat fel nem használt hazai társfinanszírozási támogatásának visszautalása</t>
  </si>
  <si>
    <t>Pénzügyminisztérium - DelFin pályázat megelőlegezési támogatásának visszautalása</t>
  </si>
  <si>
    <t>Pénzügyminisztérium - DelFin pályázat fel nem használt hazai társfinanszírozási támogatásának visszautalása</t>
  </si>
  <si>
    <t>Pénzügyminisztérium - Healing Places pályázat megelőlegezési támogatásának visszautalása</t>
  </si>
  <si>
    <t>Pénzügyminisztérium - Healing Places pályázat fel nem használt hazai társfinanszírozási támogatásának visszautalása</t>
  </si>
  <si>
    <t>Miniszterelnökség - Magyar Szürkék Újta pályázat támogatási előleg visszautalása támogatás átadása miatt (Hortobágy)</t>
  </si>
  <si>
    <t>Miniszterelnökség - EFOP-1.5.3 Csökmő pályázat támogatási előleg visszautalása támogatás átadása miatt (Csökmő)</t>
  </si>
  <si>
    <t>3. melléklet a …/2023. (…) önkormányzati rendelethez</t>
  </si>
  <si>
    <t>2. melléklet a …/2023. (…) önkormányzati rendelethez</t>
  </si>
  <si>
    <t>1. melléklet a …/2023. (…) önkormányzati rendelethez</t>
  </si>
  <si>
    <t>4. melléklet a .../2023. (...) önkormányzati rendelethez</t>
  </si>
  <si>
    <t>SOCRATES</t>
  </si>
  <si>
    <t>Foglalkoztatási Paktum Plusz</t>
  </si>
  <si>
    <t>TOP_PLUSZ-3.1.1-21-HB1-2022-00001</t>
  </si>
  <si>
    <t>Együtt, közösségben Hajdú-Biharban</t>
  </si>
  <si>
    <t>TOP-5.3.2-17-HB1-2021-00002</t>
  </si>
  <si>
    <t>6. melléklet a .../2023. (...) önkormányzati rendelethez</t>
  </si>
  <si>
    <t>5. melléklet a .../2023. (...) önkormányzati rendelethez</t>
  </si>
  <si>
    <t>10. melléklet a …/2023. (…) önkormányzati rendelethez</t>
  </si>
  <si>
    <t>A maradvány előirányzatosítása a 2023. évi költségvetés kiemelt előirányzataira</t>
  </si>
  <si>
    <t>2023.évi költségvetés már tartalmazza</t>
  </si>
  <si>
    <t>SOCRATES pályázat megvalósítása</t>
  </si>
  <si>
    <t>Foglalkoztatási Pakum Plusz pályázat megvalósítása</t>
  </si>
  <si>
    <t>Együtt, közösségben Hajdú-Biharban pályázat megvalósítása</t>
  </si>
  <si>
    <t>Agrárminisztérium - "Megyénk kincsei" című pályázat megvalósítása</t>
  </si>
  <si>
    <t>Megelőlegezési támogatás (2023.0.havi állami támogatás) visszfizetése</t>
  </si>
  <si>
    <t>2022. évi tanyagondnoki képzés 2023. évre áthúzódó kiadásának fedezetére</t>
  </si>
  <si>
    <t>SinCE-AFC pályázat megelőlegezési támogatás visszautalása</t>
  </si>
  <si>
    <t>SinCE-AFC pályázat fel nem használt hazai társfinanszírozás visszautalása</t>
  </si>
  <si>
    <t>RENATUR pályázat megelőlegezési támogatás visszautalása</t>
  </si>
  <si>
    <t>RENATUR pályázat fel nem használt hazai társfinanszírozás visszautalása</t>
  </si>
  <si>
    <t>Nemzetközi pályázatok 2023.évi önerő fedezetére</t>
  </si>
  <si>
    <t>2022. évi szállítói kötelezettségek és a 2023. évi általános működési kiadások teljesítésére</t>
  </si>
  <si>
    <t>Hivatali apparátus személyi ösztönzésére</t>
  </si>
  <si>
    <t>Kis- és nagyértékű tárgyi eszközök, informatikai és egyéb eszközök, irodai bútorok beszerzése</t>
  </si>
  <si>
    <t>2023. évi általános működési költségek teljesítésére</t>
  </si>
  <si>
    <t>Céltartalék képzése nemzetközi pályázatok  következő években felmerülő kiadások önerő fedezetére</t>
  </si>
  <si>
    <t>Céltartalék képzése humánerőforrás biztosítás fedezetére</t>
  </si>
  <si>
    <t>Céltartalék képzése 2023. évben induló nemzetközi pályázatok finanszírozásához</t>
  </si>
  <si>
    <t>Céltartalék képzése új (benyújtás előtt, vagy elbírálás alatt lévő) pályázatok 2023. évi önerő fedezetére</t>
  </si>
  <si>
    <t>Jogi, Ügyrendi és Társadalmi Kapcsolatok Bizottsága hatáskörében felhasználható keret önként vállalt feladat</t>
  </si>
  <si>
    <t>Bethlen Gábor Alapkezelő - "Nemzetköziesedés - Hajdú-Bihar és Hargita megye önkormányzatai együttműködési területeinek bővítése" pályázat megvalósítása</t>
  </si>
  <si>
    <t>46.</t>
  </si>
  <si>
    <t>47.</t>
  </si>
  <si>
    <t>48.</t>
  </si>
  <si>
    <t>Személygépjármű beszerzés (2 db)</t>
  </si>
  <si>
    <t>Hajdú-Bihar Vármegye Önkormányzata</t>
  </si>
  <si>
    <t>Hajdú-Bihar Vármegyei Önkormányzati Hivatal</t>
  </si>
  <si>
    <t>Hajdú-Bihar Vármegye Önkormányzata európai uniós projektjei</t>
  </si>
  <si>
    <t>Hajdú-Bihar Vármegye Önkormányzata európai uniós projektjei összesen</t>
  </si>
  <si>
    <t>Hajdú-Bihar Vármegyei Önkormányzati Hivatal európai uniós projektjei</t>
  </si>
  <si>
    <t>Hajdú-Bihar Vármegyei Önkormányzati Hivatal európai uniós projektjei összesen</t>
  </si>
  <si>
    <t>Hajdú-Bihar Vármegye Önkormányzata felhalmozási kiadások</t>
  </si>
  <si>
    <t>Hajdú-Bihar Vármegye Önkormányzata felhalmozási kiadások összesen</t>
  </si>
  <si>
    <t>Hajdú-Bihar Vármegyei Önkormányzati Hivatal felhalmozási kiadások</t>
  </si>
  <si>
    <t>Hajdú-Bihar Vármegyei Önkormányzati Hivatal felhalmozási kiadások összesen</t>
  </si>
  <si>
    <t xml:space="preserve">Hajdú-Bihar Vármegye Önkormányzata és a Hajdú-Bihar Vármegyei Önkormányzati Hivatal </t>
  </si>
  <si>
    <t>Hajdú-Bihar Vármegye Önkormányzata maradvány jóváhagyása</t>
  </si>
  <si>
    <t>HBVM Önkormányzata maradvány felhasználása összesen</t>
  </si>
  <si>
    <t>HBVM-i Önkormányzati Hivatal maradvány felhasználása összesen</t>
  </si>
  <si>
    <t>Hajdú-Bihar Vármegyei Önkormányzati Hivatal maradvány jóváhagyása</t>
  </si>
  <si>
    <t>Hajdú-Bihar Vármegye Cigány Területi Nemzetiségi Önkormányzata támogatása</t>
  </si>
  <si>
    <t>Hajdú-Bihar Vármegye Román Területi Nemzetiségi Önkormányzata támogatása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</si>
</sst>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#,##0.0"/>
    <numFmt numFmtId="166" formatCode="0.0"/>
    <numFmt numFmtId="167" formatCode="#,###"/>
  </numFmts>
  <fonts count="44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Arial"/>
      <family val="2"/>
      <charset val="238"/>
    </font>
    <font>
      <i/>
      <sz val="10"/>
      <name val="Times New Roman"/>
      <family val="1"/>
      <charset val="238"/>
    </font>
    <font>
      <sz val="10"/>
      <name val="Times New Roman CE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4"/>
      <color indexed="1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C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name val="Times"/>
      <family val="1"/>
    </font>
    <font>
      <sz val="14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sz val="8"/>
      <name val="Arial"/>
      <family val="2"/>
      <charset val="238"/>
    </font>
    <font>
      <b/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2"/>
      <color rgb="FFFF0000"/>
      <name val="Times New Roman"/>
      <family val="1"/>
      <charset val="238"/>
    </font>
    <font>
      <b/>
      <sz val="10.5"/>
      <name val="Times New Roman"/>
      <family val="1"/>
      <charset val="238"/>
    </font>
    <font>
      <sz val="11.5"/>
      <name val="Times New Roman"/>
      <family val="1"/>
      <charset val="238"/>
    </font>
    <font>
      <sz val="16"/>
      <color rgb="FFFF000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4"/>
      <color rgb="FFFF0000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1" fillId="0" borderId="0"/>
    <xf numFmtId="0" fontId="11" fillId="0" borderId="0"/>
  </cellStyleXfs>
  <cellXfs count="846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right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3" fontId="5" fillId="0" borderId="0" xfId="0" applyNumberFormat="1" applyFont="1"/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center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/>
    </xf>
    <xf numFmtId="0" fontId="4" fillId="0" borderId="0" xfId="0" applyFont="1"/>
    <xf numFmtId="0" fontId="4" fillId="2" borderId="3" xfId="0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3" fontId="10" fillId="2" borderId="4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/>
    </xf>
    <xf numFmtId="3" fontId="10" fillId="2" borderId="15" xfId="0" applyNumberFormat="1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center" vertical="center"/>
    </xf>
    <xf numFmtId="3" fontId="18" fillId="0" borderId="4" xfId="0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3" fontId="12" fillId="2" borderId="4" xfId="0" applyNumberFormat="1" applyFont="1" applyFill="1" applyBorder="1" applyAlignment="1">
      <alignment horizontal="right" vertical="center" wrapText="1" indent="1"/>
    </xf>
    <xf numFmtId="3" fontId="12" fillId="2" borderId="15" xfId="0" applyNumberFormat="1" applyFont="1" applyFill="1" applyBorder="1" applyAlignment="1">
      <alignment horizontal="right" vertical="center" wrapText="1" indent="1"/>
    </xf>
    <xf numFmtId="3" fontId="18" fillId="0" borderId="15" xfId="0" applyNumberFormat="1" applyFont="1" applyBorder="1" applyAlignment="1">
      <alignment horizontal="center" vertical="center" wrapText="1"/>
    </xf>
    <xf numFmtId="0" fontId="18" fillId="0" borderId="15" xfId="0" applyFont="1" applyBorder="1" applyAlignment="1">
      <alignment horizontal="left" vertical="center"/>
    </xf>
    <xf numFmtId="0" fontId="10" fillId="4" borderId="4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3" fontId="6" fillId="0" borderId="0" xfId="0" applyNumberFormat="1" applyFont="1"/>
    <xf numFmtId="0" fontId="5" fillId="0" borderId="13" xfId="7" applyFont="1" applyBorder="1" applyAlignment="1">
      <alignment horizontal="center" vertical="center"/>
    </xf>
    <xf numFmtId="0" fontId="5" fillId="0" borderId="4" xfId="7" applyFont="1" applyBorder="1" applyAlignment="1">
      <alignment horizontal="center" vertical="center"/>
    </xf>
    <xf numFmtId="164" fontId="5" fillId="0" borderId="4" xfId="7" applyNumberFormat="1" applyFont="1" applyBorder="1" applyAlignment="1">
      <alignment horizontal="center" vertical="center"/>
    </xf>
    <xf numFmtId="0" fontId="5" fillId="3" borderId="4" xfId="7" applyFont="1" applyFill="1" applyBorder="1" applyAlignment="1">
      <alignment vertical="center" wrapText="1"/>
    </xf>
    <xf numFmtId="16" fontId="5" fillId="3" borderId="13" xfId="7" applyNumberFormat="1" applyFont="1" applyFill="1" applyBorder="1" applyAlignment="1">
      <alignment horizontal="center" vertical="center"/>
    </xf>
    <xf numFmtId="0" fontId="20" fillId="0" borderId="0" xfId="0" applyFont="1"/>
    <xf numFmtId="0" fontId="5" fillId="0" borderId="27" xfId="7" applyFont="1" applyBorder="1" applyAlignment="1">
      <alignment horizontal="center" vertical="center"/>
    </xf>
    <xf numFmtId="3" fontId="10" fillId="0" borderId="27" xfId="0" applyNumberFormat="1" applyFont="1" applyBorder="1" applyAlignment="1">
      <alignment horizontal="center" vertical="center" wrapText="1"/>
    </xf>
    <xf numFmtId="0" fontId="10" fillId="0" borderId="27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8" fillId="0" borderId="59" xfId="0" applyFont="1" applyBorder="1" applyAlignment="1">
      <alignment vertical="center"/>
    </xf>
    <xf numFmtId="166" fontId="6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right"/>
    </xf>
    <xf numFmtId="0" fontId="5" fillId="0" borderId="0" xfId="2" applyFont="1"/>
    <xf numFmtId="0" fontId="6" fillId="0" borderId="0" xfId="2" applyFont="1"/>
    <xf numFmtId="0" fontId="4" fillId="0" borderId="0" xfId="2" applyFont="1"/>
    <xf numFmtId="3" fontId="5" fillId="0" borderId="0" xfId="2" applyNumberFormat="1" applyFont="1"/>
    <xf numFmtId="0" fontId="5" fillId="0" borderId="0" xfId="2" applyFont="1" applyAlignment="1">
      <alignment horizontal="right"/>
    </xf>
    <xf numFmtId="0" fontId="6" fillId="0" borderId="0" xfId="2" applyFont="1" applyAlignment="1">
      <alignment horizontal="right"/>
    </xf>
    <xf numFmtId="0" fontId="1" fillId="0" borderId="0" xfId="2"/>
    <xf numFmtId="0" fontId="4" fillId="0" borderId="0" xfId="2" applyFont="1" applyAlignment="1">
      <alignment horizontal="centerContinuous" shrinkToFit="1"/>
    </xf>
    <xf numFmtId="3" fontId="4" fillId="0" borderId="0" xfId="2" applyNumberFormat="1" applyFont="1" applyAlignment="1">
      <alignment horizontal="right"/>
    </xf>
    <xf numFmtId="0" fontId="29" fillId="5" borderId="0" xfId="2" applyFont="1" applyFill="1" applyAlignment="1">
      <alignment horizontal="center"/>
    </xf>
    <xf numFmtId="0" fontId="4" fillId="5" borderId="0" xfId="2" applyFont="1" applyFill="1" applyAlignment="1">
      <alignment vertical="center" shrinkToFit="1"/>
    </xf>
    <xf numFmtId="3" fontId="4" fillId="5" borderId="0" xfId="2" applyNumberFormat="1" applyFont="1" applyFill="1" applyAlignment="1">
      <alignment vertical="center"/>
    </xf>
    <xf numFmtId="0" fontId="5" fillId="0" borderId="0" xfId="2" applyFont="1" applyAlignment="1">
      <alignment shrinkToFit="1"/>
    </xf>
    <xf numFmtId="0" fontId="6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23" fillId="0" borderId="0" xfId="2" applyFont="1" applyAlignment="1">
      <alignment vertical="center"/>
    </xf>
    <xf numFmtId="165" fontId="5" fillId="3" borderId="7" xfId="0" applyNumberFormat="1" applyFont="1" applyFill="1" applyBorder="1" applyAlignment="1">
      <alignment horizontal="right" vertical="center" indent="1"/>
    </xf>
    <xf numFmtId="3" fontId="6" fillId="0" borderId="0" xfId="2" applyNumberFormat="1" applyFont="1"/>
    <xf numFmtId="167" fontId="6" fillId="0" borderId="0" xfId="2" applyNumberFormat="1" applyFont="1"/>
    <xf numFmtId="0" fontId="5" fillId="3" borderId="4" xfId="7" applyFont="1" applyFill="1" applyBorder="1" applyAlignment="1">
      <alignment horizontal="center" vertical="center"/>
    </xf>
    <xf numFmtId="165" fontId="23" fillId="0" borderId="7" xfId="0" applyNumberFormat="1" applyFont="1" applyBorder="1" applyAlignment="1">
      <alignment horizontal="right" vertical="center" indent="1"/>
    </xf>
    <xf numFmtId="0" fontId="24" fillId="0" borderId="0" xfId="0" applyFont="1"/>
    <xf numFmtId="0" fontId="31" fillId="0" borderId="0" xfId="0" applyFont="1"/>
    <xf numFmtId="166" fontId="5" fillId="0" borderId="18" xfId="2" applyNumberFormat="1" applyFont="1" applyBorder="1" applyAlignment="1">
      <alignment horizontal="right" vertical="center" indent="1"/>
    </xf>
    <xf numFmtId="166" fontId="5" fillId="0" borderId="7" xfId="2" applyNumberFormat="1" applyFont="1" applyBorder="1" applyAlignment="1">
      <alignment horizontal="right" vertical="center" indent="1"/>
    </xf>
    <xf numFmtId="0" fontId="8" fillId="0" borderId="0" xfId="2" applyFont="1"/>
    <xf numFmtId="0" fontId="5" fillId="0" borderId="25" xfId="7" applyFont="1" applyBorder="1" applyAlignment="1">
      <alignment horizontal="center" vertical="center"/>
    </xf>
    <xf numFmtId="0" fontId="5" fillId="3" borderId="0" xfId="0" applyFont="1" applyFill="1"/>
    <xf numFmtId="0" fontId="5" fillId="0" borderId="0" xfId="2" applyFont="1" applyAlignment="1">
      <alignment horizontal="right" vertical="center"/>
    </xf>
    <xf numFmtId="0" fontId="5" fillId="0" borderId="4" xfId="7" applyFont="1" applyBorder="1" applyAlignment="1">
      <alignment horizontal="left" vertical="center" shrinkToFit="1"/>
    </xf>
    <xf numFmtId="166" fontId="4" fillId="7" borderId="20" xfId="2" applyNumberFormat="1" applyFont="1" applyFill="1" applyBorder="1" applyAlignment="1">
      <alignment horizontal="right" vertical="center" indent="1"/>
    </xf>
    <xf numFmtId="166" fontId="4" fillId="0" borderId="20" xfId="2" applyNumberFormat="1" applyFont="1" applyBorder="1" applyAlignment="1">
      <alignment horizontal="right" vertical="center" indent="1"/>
    </xf>
    <xf numFmtId="0" fontId="5" fillId="3" borderId="13" xfId="7" applyFont="1" applyFill="1" applyBorder="1" applyAlignment="1">
      <alignment horizontal="center" vertical="center"/>
    </xf>
    <xf numFmtId="164" fontId="5" fillId="3" borderId="4" xfId="7" applyNumberFormat="1" applyFont="1" applyFill="1" applyBorder="1" applyAlignment="1">
      <alignment horizontal="center" vertical="center"/>
    </xf>
    <xf numFmtId="0" fontId="4" fillId="0" borderId="0" xfId="2" applyFont="1" applyAlignment="1">
      <alignment horizontal="center"/>
    </xf>
    <xf numFmtId="0" fontId="34" fillId="0" borderId="0" xfId="0" applyFont="1"/>
    <xf numFmtId="0" fontId="35" fillId="0" borderId="0" xfId="0" applyFont="1"/>
    <xf numFmtId="166" fontId="4" fillId="7" borderId="34" xfId="2" applyNumberFormat="1" applyFont="1" applyFill="1" applyBorder="1" applyAlignment="1">
      <alignment horizontal="right" vertical="center" indent="1"/>
    </xf>
    <xf numFmtId="3" fontId="6" fillId="3" borderId="0" xfId="0" applyNumberFormat="1" applyFont="1" applyFill="1" applyAlignment="1">
      <alignment horizontal="right"/>
    </xf>
    <xf numFmtId="0" fontId="6" fillId="3" borderId="0" xfId="0" applyFont="1" applyFill="1" applyAlignment="1">
      <alignment horizontal="center"/>
    </xf>
    <xf numFmtId="3" fontId="27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3" fontId="23" fillId="0" borderId="0" xfId="0" applyNumberFormat="1" applyFont="1" applyAlignment="1">
      <alignment horizontal="center" vertical="center"/>
    </xf>
    <xf numFmtId="3" fontId="24" fillId="0" borderId="0" xfId="0" applyNumberFormat="1" applyFont="1" applyAlignment="1">
      <alignment vertical="center"/>
    </xf>
    <xf numFmtId="0" fontId="7" fillId="0" borderId="0" xfId="2" applyFont="1" applyAlignment="1">
      <alignment horizontal="right"/>
    </xf>
    <xf numFmtId="0" fontId="23" fillId="0" borderId="0" xfId="2" applyFont="1"/>
    <xf numFmtId="3" fontId="5" fillId="0" borderId="25" xfId="2" applyNumberFormat="1" applyFont="1" applyBorder="1" applyAlignment="1">
      <alignment vertical="center"/>
    </xf>
    <xf numFmtId="3" fontId="5" fillId="3" borderId="25" xfId="2" applyNumberFormat="1" applyFont="1" applyFill="1" applyBorder="1" applyAlignment="1">
      <alignment vertical="center"/>
    </xf>
    <xf numFmtId="3" fontId="5" fillId="0" borderId="18" xfId="2" applyNumberFormat="1" applyFont="1" applyBorder="1" applyAlignment="1">
      <alignment vertical="center"/>
    </xf>
    <xf numFmtId="3" fontId="5" fillId="0" borderId="27" xfId="2" applyNumberFormat="1" applyFont="1" applyBorder="1" applyAlignment="1">
      <alignment vertical="center"/>
    </xf>
    <xf numFmtId="3" fontId="5" fillId="0" borderId="5" xfId="2" applyNumberFormat="1" applyFont="1" applyBorder="1" applyAlignment="1">
      <alignment vertical="center"/>
    </xf>
    <xf numFmtId="3" fontId="5" fillId="0" borderId="20" xfId="2" applyNumberFormat="1" applyFont="1" applyBorder="1" applyAlignment="1">
      <alignment vertical="center"/>
    </xf>
    <xf numFmtId="3" fontId="5" fillId="0" borderId="35" xfId="2" applyNumberFormat="1" applyFont="1" applyBorder="1" applyAlignment="1">
      <alignment vertical="center"/>
    </xf>
    <xf numFmtId="3" fontId="5" fillId="0" borderId="4" xfId="2" applyNumberFormat="1" applyFont="1" applyBorder="1" applyAlignment="1">
      <alignment vertical="center"/>
    </xf>
    <xf numFmtId="3" fontId="5" fillId="0" borderId="15" xfId="2" applyNumberFormat="1" applyFont="1" applyBorder="1" applyAlignment="1">
      <alignment vertical="center"/>
    </xf>
    <xf numFmtId="3" fontId="5" fillId="3" borderId="27" xfId="2" applyNumberFormat="1" applyFont="1" applyFill="1" applyBorder="1" applyAlignment="1">
      <alignment vertical="center"/>
    </xf>
    <xf numFmtId="3" fontId="5" fillId="0" borderId="19" xfId="2" applyNumberFormat="1" applyFont="1" applyBorder="1" applyAlignment="1">
      <alignment vertical="center"/>
    </xf>
    <xf numFmtId="3" fontId="5" fillId="3" borderId="15" xfId="2" applyNumberFormat="1" applyFont="1" applyFill="1" applyBorder="1" applyAlignment="1">
      <alignment vertical="center"/>
    </xf>
    <xf numFmtId="3" fontId="5" fillId="3" borderId="35" xfId="2" applyNumberFormat="1" applyFont="1" applyFill="1" applyBorder="1" applyAlignment="1">
      <alignment vertical="center"/>
    </xf>
    <xf numFmtId="0" fontId="7" fillId="0" borderId="0" xfId="2" applyFont="1" applyAlignment="1">
      <alignment horizontal="centerContinuous"/>
    </xf>
    <xf numFmtId="3" fontId="5" fillId="0" borderId="7" xfId="2" applyNumberFormat="1" applyFont="1" applyBorder="1" applyAlignment="1">
      <alignment vertical="center"/>
    </xf>
    <xf numFmtId="0" fontId="5" fillId="3" borderId="27" xfId="7" applyFont="1" applyFill="1" applyBorder="1" applyAlignment="1">
      <alignment horizontal="center" vertical="center"/>
    </xf>
    <xf numFmtId="3" fontId="5" fillId="3" borderId="4" xfId="2" applyNumberFormat="1" applyFont="1" applyFill="1" applyBorder="1" applyAlignment="1">
      <alignment vertical="center"/>
    </xf>
    <xf numFmtId="0" fontId="5" fillId="0" borderId="4" xfId="7" applyFont="1" applyBorder="1" applyAlignment="1">
      <alignment horizontal="center" vertical="center" wrapText="1"/>
    </xf>
    <xf numFmtId="0" fontId="13" fillId="0" borderId="4" xfId="7" applyFont="1" applyBorder="1" applyAlignment="1">
      <alignment horizontal="center" vertical="center"/>
    </xf>
    <xf numFmtId="0" fontId="13" fillId="0" borderId="4" xfId="2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0" fontId="5" fillId="0" borderId="27" xfId="0" applyFont="1" applyBorder="1" applyAlignment="1">
      <alignment horizontal="center"/>
    </xf>
    <xf numFmtId="3" fontId="5" fillId="0" borderId="25" xfId="0" applyNumberFormat="1" applyFont="1" applyBorder="1"/>
    <xf numFmtId="3" fontId="5" fillId="0" borderId="18" xfId="0" applyNumberFormat="1" applyFont="1" applyBorder="1"/>
    <xf numFmtId="3" fontId="5" fillId="0" borderId="4" xfId="0" applyNumberFormat="1" applyFont="1" applyBorder="1"/>
    <xf numFmtId="3" fontId="5" fillId="0" borderId="20" xfId="0" applyNumberFormat="1" applyFont="1" applyBorder="1"/>
    <xf numFmtId="3" fontId="4" fillId="8" borderId="8" xfId="0" applyNumberFormat="1" applyFont="1" applyFill="1" applyBorder="1"/>
    <xf numFmtId="3" fontId="4" fillId="8" borderId="11" xfId="0" applyNumberFormat="1" applyFont="1" applyFill="1" applyBorder="1"/>
    <xf numFmtId="3" fontId="5" fillId="0" borderId="27" xfId="0" applyNumberFormat="1" applyFont="1" applyBorder="1"/>
    <xf numFmtId="3" fontId="5" fillId="0" borderId="7" xfId="0" applyNumberFormat="1" applyFont="1" applyBorder="1"/>
    <xf numFmtId="0" fontId="4" fillId="8" borderId="15" xfId="0" applyFont="1" applyFill="1" applyBorder="1" applyAlignment="1">
      <alignment horizontal="center"/>
    </xf>
    <xf numFmtId="3" fontId="4" fillId="8" borderId="15" xfId="0" applyNumberFormat="1" applyFont="1" applyFill="1" applyBorder="1"/>
    <xf numFmtId="3" fontId="4" fillId="8" borderId="9" xfId="0" applyNumberFormat="1" applyFont="1" applyFill="1" applyBorder="1"/>
    <xf numFmtId="0" fontId="5" fillId="0" borderId="0" xfId="2" applyFont="1" applyAlignment="1">
      <alignment wrapText="1"/>
    </xf>
    <xf numFmtId="3" fontId="5" fillId="3" borderId="0" xfId="0" applyNumberFormat="1" applyFont="1" applyFill="1" applyAlignment="1">
      <alignment horizontal="center" vertical="center" wrapText="1"/>
    </xf>
    <xf numFmtId="3" fontId="23" fillId="3" borderId="0" xfId="0" applyNumberFormat="1" applyFont="1" applyFill="1" applyAlignment="1">
      <alignment horizontal="right" vertical="center"/>
    </xf>
    <xf numFmtId="0" fontId="4" fillId="9" borderId="8" xfId="0" applyFont="1" applyFill="1" applyBorder="1" applyAlignment="1">
      <alignment horizontal="center"/>
    </xf>
    <xf numFmtId="3" fontId="4" fillId="9" borderId="8" xfId="0" applyNumberFormat="1" applyFont="1" applyFill="1" applyBorder="1"/>
    <xf numFmtId="3" fontId="4" fillId="9" borderId="11" xfId="0" applyNumberFormat="1" applyFont="1" applyFill="1" applyBorder="1"/>
    <xf numFmtId="0" fontId="4" fillId="3" borderId="0" xfId="0" applyFont="1" applyFill="1" applyAlignment="1">
      <alignment horizontal="center"/>
    </xf>
    <xf numFmtId="3" fontId="4" fillId="3" borderId="0" xfId="0" applyNumberFormat="1" applyFont="1" applyFill="1"/>
    <xf numFmtId="3" fontId="5" fillId="0" borderId="19" xfId="0" applyNumberFormat="1" applyFont="1" applyBorder="1"/>
    <xf numFmtId="3" fontId="5" fillId="0" borderId="5" xfId="0" applyNumberFormat="1" applyFont="1" applyBorder="1"/>
    <xf numFmtId="3" fontId="5" fillId="0" borderId="35" xfId="0" applyNumberFormat="1" applyFont="1" applyBorder="1"/>
    <xf numFmtId="3" fontId="4" fillId="3" borderId="57" xfId="0" applyNumberFormat="1" applyFont="1" applyFill="1" applyBorder="1" applyAlignment="1">
      <alignment horizontal="center" vertical="center"/>
    </xf>
    <xf numFmtId="3" fontId="4" fillId="3" borderId="0" xfId="0" applyNumberFormat="1" applyFont="1" applyFill="1" applyAlignment="1">
      <alignment horizontal="center" vertical="center"/>
    </xf>
    <xf numFmtId="0" fontId="34" fillId="0" borderId="0" xfId="2" applyFont="1"/>
    <xf numFmtId="0" fontId="36" fillId="0" borderId="0" xfId="2" applyFont="1" applyAlignment="1">
      <alignment wrapText="1"/>
    </xf>
    <xf numFmtId="3" fontId="5" fillId="3" borderId="0" xfId="0" applyNumberFormat="1" applyFont="1" applyFill="1"/>
    <xf numFmtId="3" fontId="8" fillId="0" borderId="4" xfId="0" applyNumberFormat="1" applyFont="1" applyBorder="1" applyAlignment="1">
      <alignment horizontal="right" vertical="center"/>
    </xf>
    <xf numFmtId="3" fontId="8" fillId="0" borderId="24" xfId="0" applyNumberFormat="1" applyFont="1" applyBorder="1" applyAlignment="1">
      <alignment horizontal="right" vertical="center" wrapText="1"/>
    </xf>
    <xf numFmtId="166" fontId="8" fillId="0" borderId="7" xfId="0" applyNumberFormat="1" applyFont="1" applyBorder="1" applyAlignment="1">
      <alignment horizontal="right" vertical="center" wrapText="1"/>
    </xf>
    <xf numFmtId="3" fontId="8" fillId="0" borderId="4" xfId="0" applyNumberFormat="1" applyFont="1" applyBorder="1" applyAlignment="1">
      <alignment horizontal="right" vertical="center" wrapText="1"/>
    </xf>
    <xf numFmtId="3" fontId="12" fillId="0" borderId="4" xfId="0" applyNumberFormat="1" applyFont="1" applyBorder="1" applyAlignment="1" applyProtection="1">
      <alignment horizontal="right" vertical="center" wrapText="1"/>
      <protection locked="0"/>
    </xf>
    <xf numFmtId="3" fontId="12" fillId="0" borderId="24" xfId="0" applyNumberFormat="1" applyFont="1" applyBorder="1" applyAlignment="1" applyProtection="1">
      <alignment horizontal="right" vertical="center" wrapText="1"/>
      <protection locked="0"/>
    </xf>
    <xf numFmtId="3" fontId="12" fillId="3" borderId="24" xfId="0" applyNumberFormat="1" applyFont="1" applyFill="1" applyBorder="1" applyAlignment="1" applyProtection="1">
      <alignment horizontal="right" vertical="center" wrapText="1"/>
      <protection locked="0"/>
    </xf>
    <xf numFmtId="166" fontId="12" fillId="0" borderId="7" xfId="0" applyNumberFormat="1" applyFont="1" applyBorder="1" applyAlignment="1">
      <alignment horizontal="right" vertical="center" wrapText="1"/>
    </xf>
    <xf numFmtId="3" fontId="12" fillId="0" borderId="24" xfId="0" applyNumberFormat="1" applyFont="1" applyBorder="1" applyAlignment="1" applyProtection="1">
      <alignment horizontal="right" vertical="center"/>
      <protection locked="0"/>
    </xf>
    <xf numFmtId="166" fontId="12" fillId="0" borderId="7" xfId="0" applyNumberFormat="1" applyFont="1" applyBorder="1" applyAlignment="1">
      <alignment horizontal="right" vertical="center"/>
    </xf>
    <xf numFmtId="3" fontId="10" fillId="0" borderId="4" xfId="0" applyNumberFormat="1" applyFont="1" applyBorder="1" applyAlignment="1" applyProtection="1">
      <alignment horizontal="right" vertical="center" wrapText="1"/>
      <protection locked="0"/>
    </xf>
    <xf numFmtId="3" fontId="10" fillId="0" borderId="24" xfId="0" applyNumberFormat="1" applyFont="1" applyBorder="1" applyAlignment="1" applyProtection="1">
      <alignment horizontal="right" vertical="center" wrapText="1"/>
      <protection locked="0"/>
    </xf>
    <xf numFmtId="3" fontId="10" fillId="0" borderId="24" xfId="0" applyNumberFormat="1" applyFont="1" applyBorder="1" applyAlignment="1" applyProtection="1">
      <alignment horizontal="right" vertical="center"/>
      <protection locked="0"/>
    </xf>
    <xf numFmtId="166" fontId="10" fillId="0" borderId="7" xfId="0" applyNumberFormat="1" applyFont="1" applyBorder="1" applyAlignment="1">
      <alignment horizontal="right" vertical="center"/>
    </xf>
    <xf numFmtId="3" fontId="10" fillId="0" borderId="15" xfId="0" applyNumberFormat="1" applyFont="1" applyBorder="1" applyAlignment="1" applyProtection="1">
      <alignment horizontal="right" vertical="center" wrapText="1"/>
      <protection locked="0"/>
    </xf>
    <xf numFmtId="3" fontId="10" fillId="0" borderId="29" xfId="0" applyNumberFormat="1" applyFont="1" applyBorder="1" applyAlignment="1" applyProtection="1">
      <alignment horizontal="right" vertical="center" wrapText="1"/>
      <protection locked="0"/>
    </xf>
    <xf numFmtId="3" fontId="10" fillId="0" borderId="29" xfId="0" applyNumberFormat="1" applyFont="1" applyBorder="1" applyAlignment="1" applyProtection="1">
      <alignment horizontal="right" vertical="center"/>
      <protection locked="0"/>
    </xf>
    <xf numFmtId="166" fontId="10" fillId="0" borderId="9" xfId="0" applyNumberFormat="1" applyFont="1" applyBorder="1" applyAlignment="1">
      <alignment horizontal="right" vertical="center"/>
    </xf>
    <xf numFmtId="3" fontId="8" fillId="2" borderId="4" xfId="0" applyNumberFormat="1" applyFont="1" applyFill="1" applyBorder="1" applyAlignment="1">
      <alignment horizontal="right" vertical="center" wrapText="1"/>
    </xf>
    <xf numFmtId="166" fontId="8" fillId="2" borderId="7" xfId="0" applyNumberFormat="1" applyFont="1" applyFill="1" applyBorder="1" applyAlignment="1">
      <alignment horizontal="right" vertical="center" wrapText="1"/>
    </xf>
    <xf numFmtId="3" fontId="12" fillId="2" borderId="4" xfId="0" applyNumberFormat="1" applyFont="1" applyFill="1" applyBorder="1" applyAlignment="1">
      <alignment horizontal="right" vertical="center" wrapText="1"/>
    </xf>
    <xf numFmtId="166" fontId="12" fillId="2" borderId="7" xfId="0" applyNumberFormat="1" applyFont="1" applyFill="1" applyBorder="1" applyAlignment="1">
      <alignment horizontal="right" vertical="center" wrapText="1"/>
    </xf>
    <xf numFmtId="165" fontId="8" fillId="0" borderId="7" xfId="0" applyNumberFormat="1" applyFont="1" applyBorder="1" applyAlignment="1">
      <alignment horizontal="right" vertical="center" wrapText="1"/>
    </xf>
    <xf numFmtId="3" fontId="8" fillId="0" borderId="5" xfId="0" applyNumberFormat="1" applyFont="1" applyBorder="1" applyAlignment="1">
      <alignment horizontal="right" vertical="center" wrapText="1"/>
    </xf>
    <xf numFmtId="3" fontId="12" fillId="0" borderId="5" xfId="0" applyNumberFormat="1" applyFont="1" applyBorder="1" applyAlignment="1" applyProtection="1">
      <alignment horizontal="right" vertical="center" wrapText="1"/>
      <protection locked="0"/>
    </xf>
    <xf numFmtId="165" fontId="12" fillId="0" borderId="7" xfId="0" applyNumberFormat="1" applyFont="1" applyBorder="1" applyAlignment="1">
      <alignment horizontal="right" vertical="center" wrapText="1"/>
    </xf>
    <xf numFmtId="3" fontId="4" fillId="2" borderId="19" xfId="0" applyNumberFormat="1" applyFont="1" applyFill="1" applyBorder="1" applyAlignment="1">
      <alignment horizontal="right" vertical="center" wrapText="1"/>
    </xf>
    <xf numFmtId="165" fontId="4" fillId="2" borderId="19" xfId="0" applyNumberFormat="1" applyFont="1" applyFill="1" applyBorder="1" applyAlignment="1">
      <alignment horizontal="right" vertical="center" wrapText="1"/>
    </xf>
    <xf numFmtId="3" fontId="12" fillId="2" borderId="5" xfId="0" applyNumberFormat="1" applyFont="1" applyFill="1" applyBorder="1" applyAlignment="1">
      <alignment horizontal="right" vertical="center" wrapText="1"/>
    </xf>
    <xf numFmtId="165" fontId="27" fillId="2" borderId="19" xfId="0" applyNumberFormat="1" applyFont="1" applyFill="1" applyBorder="1" applyAlignment="1">
      <alignment horizontal="right" vertical="center" wrapText="1"/>
    </xf>
    <xf numFmtId="3" fontId="8" fillId="2" borderId="5" xfId="0" applyNumberFormat="1" applyFont="1" applyFill="1" applyBorder="1" applyAlignment="1">
      <alignment horizontal="right" vertical="center" wrapText="1"/>
    </xf>
    <xf numFmtId="165" fontId="8" fillId="2" borderId="4" xfId="0" applyNumberFormat="1" applyFont="1" applyFill="1" applyBorder="1" applyAlignment="1">
      <alignment horizontal="right" vertical="center" wrapText="1"/>
    </xf>
    <xf numFmtId="165" fontId="12" fillId="2" borderId="4" xfId="0" applyNumberFormat="1" applyFont="1" applyFill="1" applyBorder="1" applyAlignment="1">
      <alignment horizontal="right" vertical="center" wrapText="1"/>
    </xf>
    <xf numFmtId="3" fontId="12" fillId="2" borderId="24" xfId="0" applyNumberFormat="1" applyFont="1" applyFill="1" applyBorder="1" applyAlignment="1">
      <alignment horizontal="right" vertical="center" wrapText="1"/>
    </xf>
    <xf numFmtId="3" fontId="8" fillId="2" borderId="25" xfId="0" applyNumberFormat="1" applyFont="1" applyFill="1" applyBorder="1" applyAlignment="1">
      <alignment horizontal="right" vertical="center" wrapText="1"/>
    </xf>
    <xf numFmtId="3" fontId="12" fillId="2" borderId="15" xfId="0" applyNumberFormat="1" applyFont="1" applyFill="1" applyBorder="1" applyAlignment="1">
      <alignment horizontal="right" vertical="center" wrapText="1"/>
    </xf>
    <xf numFmtId="3" fontId="8" fillId="0" borderId="25" xfId="0" applyNumberFormat="1" applyFont="1" applyBorder="1" applyAlignment="1">
      <alignment horizontal="right" vertical="center" wrapText="1"/>
    </xf>
    <xf numFmtId="165" fontId="8" fillId="0" borderId="18" xfId="0" applyNumberFormat="1" applyFont="1" applyBorder="1" applyAlignment="1">
      <alignment horizontal="right" vertical="center" wrapText="1"/>
    </xf>
    <xf numFmtId="3" fontId="8" fillId="2" borderId="24" xfId="0" applyNumberFormat="1" applyFont="1" applyFill="1" applyBorder="1" applyAlignment="1">
      <alignment horizontal="right" vertical="center" wrapText="1"/>
    </xf>
    <xf numFmtId="166" fontId="8" fillId="2" borderId="18" xfId="0" applyNumberFormat="1" applyFont="1" applyFill="1" applyBorder="1" applyAlignment="1">
      <alignment horizontal="right" vertical="center" wrapText="1"/>
    </xf>
    <xf numFmtId="166" fontId="12" fillId="2" borderId="9" xfId="0" applyNumberFormat="1" applyFont="1" applyFill="1" applyBorder="1" applyAlignment="1">
      <alignment horizontal="right" vertical="center" wrapText="1"/>
    </xf>
    <xf numFmtId="166" fontId="8" fillId="0" borderId="18" xfId="0" applyNumberFormat="1" applyFont="1" applyBorder="1" applyAlignment="1">
      <alignment horizontal="right" vertical="center" wrapText="1"/>
    </xf>
    <xf numFmtId="3" fontId="12" fillId="0" borderId="27" xfId="0" applyNumberFormat="1" applyFont="1" applyBorder="1" applyAlignment="1" applyProtection="1">
      <alignment horizontal="right" vertical="center" wrapText="1"/>
      <protection locked="0"/>
    </xf>
    <xf numFmtId="3" fontId="12" fillId="0" borderId="43" xfId="0" applyNumberFormat="1" applyFont="1" applyBorder="1" applyAlignment="1" applyProtection="1">
      <alignment horizontal="right" vertical="center" wrapText="1"/>
      <protection locked="0"/>
    </xf>
    <xf numFmtId="166" fontId="12" fillId="0" borderId="20" xfId="0" applyNumberFormat="1" applyFont="1" applyBorder="1" applyAlignment="1">
      <alignment horizontal="right" vertical="center" wrapText="1"/>
    </xf>
    <xf numFmtId="166" fontId="8" fillId="0" borderId="0" xfId="0" applyNumberFormat="1" applyFont="1" applyAlignment="1">
      <alignment horizontal="right"/>
    </xf>
    <xf numFmtId="3" fontId="5" fillId="3" borderId="4" xfId="7" applyNumberFormat="1" applyFont="1" applyFill="1" applyBorder="1" applyAlignment="1">
      <alignment vertical="center" wrapText="1"/>
    </xf>
    <xf numFmtId="16" fontId="5" fillId="0" borderId="1" xfId="7" applyNumberFormat="1" applyFont="1" applyBorder="1" applyAlignment="1">
      <alignment horizontal="center" vertical="center"/>
    </xf>
    <xf numFmtId="3" fontId="5" fillId="3" borderId="19" xfId="7" applyNumberFormat="1" applyFont="1" applyFill="1" applyBorder="1" applyAlignment="1">
      <alignment vertical="center" wrapText="1"/>
    </xf>
    <xf numFmtId="3" fontId="5" fillId="3" borderId="4" xfId="0" applyNumberFormat="1" applyFont="1" applyFill="1" applyBorder="1" applyAlignment="1">
      <alignment vertical="center"/>
    </xf>
    <xf numFmtId="3" fontId="23" fillId="0" borderId="4" xfId="0" applyNumberFormat="1" applyFont="1" applyBorder="1" applyAlignment="1">
      <alignment vertical="center"/>
    </xf>
    <xf numFmtId="3" fontId="23" fillId="3" borderId="4" xfId="2" applyNumberFormat="1" applyFont="1" applyFill="1" applyBorder="1" applyAlignment="1">
      <alignment horizontal="right" vertical="center"/>
    </xf>
    <xf numFmtId="0" fontId="5" fillId="0" borderId="13" xfId="0" applyFont="1" applyBorder="1" applyAlignment="1">
      <alignment horizontal="center" vertical="center"/>
    </xf>
    <xf numFmtId="3" fontId="5" fillId="0" borderId="4" xfId="0" applyNumberFormat="1" applyFont="1" applyBorder="1" applyAlignment="1">
      <alignment vertical="center"/>
    </xf>
    <xf numFmtId="3" fontId="5" fillId="0" borderId="4" xfId="2" applyNumberFormat="1" applyFont="1" applyBorder="1" applyAlignment="1">
      <alignment horizontal="right" vertical="center"/>
    </xf>
    <xf numFmtId="0" fontId="5" fillId="0" borderId="30" xfId="0" applyFont="1" applyBorder="1" applyAlignment="1">
      <alignment horizontal="center" vertical="center"/>
    </xf>
    <xf numFmtId="3" fontId="5" fillId="0" borderId="25" xfId="2" applyNumberFormat="1" applyFont="1" applyBorder="1" applyAlignment="1">
      <alignment horizontal="right" vertical="center"/>
    </xf>
    <xf numFmtId="0" fontId="5" fillId="0" borderId="14" xfId="7" applyFont="1" applyBorder="1" applyAlignment="1">
      <alignment horizontal="center" vertical="center"/>
    </xf>
    <xf numFmtId="0" fontId="5" fillId="0" borderId="8" xfId="0" applyFont="1" applyBorder="1" applyAlignment="1">
      <alignment vertical="center" shrinkToFit="1"/>
    </xf>
    <xf numFmtId="3" fontId="5" fillId="0" borderId="8" xfId="0" applyNumberFormat="1" applyFont="1" applyBorder="1" applyAlignment="1">
      <alignment vertical="center"/>
    </xf>
    <xf numFmtId="3" fontId="5" fillId="3" borderId="8" xfId="2" applyNumberFormat="1" applyFont="1" applyFill="1" applyBorder="1" applyAlignment="1">
      <alignment horizontal="right" vertical="center"/>
    </xf>
    <xf numFmtId="166" fontId="5" fillId="0" borderId="11" xfId="2" applyNumberFormat="1" applyFont="1" applyBorder="1" applyAlignment="1">
      <alignment horizontal="right" vertical="center" indent="1"/>
    </xf>
    <xf numFmtId="0" fontId="8" fillId="0" borderId="0" xfId="2" applyFont="1" applyAlignment="1">
      <alignment horizontal="right"/>
    </xf>
    <xf numFmtId="0" fontId="4" fillId="0" borderId="0" xfId="2" applyFont="1" applyAlignment="1">
      <alignment horizontal="right"/>
    </xf>
    <xf numFmtId="0" fontId="5" fillId="3" borderId="4" xfId="7" applyFont="1" applyFill="1" applyBorder="1" applyAlignment="1">
      <alignment horizontal="center" vertical="center" wrapText="1"/>
    </xf>
    <xf numFmtId="3" fontId="8" fillId="3" borderId="24" xfId="0" applyNumberFormat="1" applyFont="1" applyFill="1" applyBorder="1" applyAlignment="1">
      <alignment horizontal="right" vertical="center" wrapText="1"/>
    </xf>
    <xf numFmtId="3" fontId="12" fillId="3" borderId="4" xfId="0" applyNumberFormat="1" applyFont="1" applyFill="1" applyBorder="1" applyAlignment="1" applyProtection="1">
      <alignment horizontal="right" vertical="center" wrapText="1"/>
      <protection locked="0"/>
    </xf>
    <xf numFmtId="3" fontId="8" fillId="3" borderId="4" xfId="0" applyNumberFormat="1" applyFont="1" applyFill="1" applyBorder="1" applyAlignment="1">
      <alignment horizontal="right" vertical="center" wrapText="1"/>
    </xf>
    <xf numFmtId="3" fontId="12" fillId="3" borderId="5" xfId="0" applyNumberFormat="1" applyFont="1" applyFill="1" applyBorder="1" applyAlignment="1" applyProtection="1">
      <alignment horizontal="right" vertical="center" wrapText="1"/>
      <protection locked="0"/>
    </xf>
    <xf numFmtId="3" fontId="8" fillId="3" borderId="5" xfId="0" applyNumberFormat="1" applyFont="1" applyFill="1" applyBorder="1" applyAlignment="1">
      <alignment horizontal="right" vertical="center" wrapText="1"/>
    </xf>
    <xf numFmtId="165" fontId="8" fillId="2" borderId="5" xfId="0" applyNumberFormat="1" applyFont="1" applyFill="1" applyBorder="1" applyAlignment="1">
      <alignment horizontal="right" vertical="center" wrapText="1"/>
    </xf>
    <xf numFmtId="165" fontId="12" fillId="2" borderId="5" xfId="0" applyNumberFormat="1" applyFont="1" applyFill="1" applyBorder="1" applyAlignment="1">
      <alignment horizontal="right" vertical="center" wrapText="1"/>
    </xf>
    <xf numFmtId="165" fontId="8" fillId="2" borderId="25" xfId="0" applyNumberFormat="1" applyFont="1" applyFill="1" applyBorder="1" applyAlignment="1">
      <alignment horizontal="right" vertical="center" wrapText="1"/>
    </xf>
    <xf numFmtId="165" fontId="12" fillId="2" borderId="15" xfId="0" applyNumberFormat="1" applyFont="1" applyFill="1" applyBorder="1" applyAlignment="1">
      <alignment horizontal="right" vertical="center" wrapText="1"/>
    </xf>
    <xf numFmtId="166" fontId="8" fillId="0" borderId="7" xfId="0" applyNumberFormat="1" applyFont="1" applyBorder="1" applyAlignment="1">
      <alignment horizontal="right" vertical="center"/>
    </xf>
    <xf numFmtId="3" fontId="18" fillId="0" borderId="4" xfId="0" applyNumberFormat="1" applyFont="1" applyBorder="1" applyAlignment="1" applyProtection="1">
      <alignment horizontal="right" vertical="center" wrapText="1"/>
      <protection locked="0"/>
    </xf>
    <xf numFmtId="3" fontId="18" fillId="0" borderId="24" xfId="0" applyNumberFormat="1" applyFont="1" applyBorder="1" applyAlignment="1" applyProtection="1">
      <alignment horizontal="right" vertical="center" wrapText="1"/>
      <protection locked="0"/>
    </xf>
    <xf numFmtId="165" fontId="8" fillId="2" borderId="7" xfId="0" applyNumberFormat="1" applyFont="1" applyFill="1" applyBorder="1" applyAlignment="1">
      <alignment horizontal="right" vertical="center" wrapText="1"/>
    </xf>
    <xf numFmtId="165" fontId="12" fillId="2" borderId="7" xfId="0" applyNumberFormat="1" applyFont="1" applyFill="1" applyBorder="1" applyAlignment="1">
      <alignment horizontal="right" vertical="center" wrapText="1"/>
    </xf>
    <xf numFmtId="165" fontId="12" fillId="2" borderId="9" xfId="0" applyNumberFormat="1" applyFont="1" applyFill="1" applyBorder="1" applyAlignment="1">
      <alignment horizontal="right" vertical="center" wrapText="1"/>
    </xf>
    <xf numFmtId="165" fontId="8" fillId="2" borderId="18" xfId="0" applyNumberFormat="1" applyFont="1" applyFill="1" applyBorder="1" applyAlignment="1">
      <alignment horizontal="right" vertical="center" wrapText="1"/>
    </xf>
    <xf numFmtId="3" fontId="8" fillId="0" borderId="27" xfId="0" applyNumberFormat="1" applyFont="1" applyBorder="1" applyAlignment="1">
      <alignment horizontal="right" vertical="center" wrapText="1"/>
    </xf>
    <xf numFmtId="165" fontId="8" fillId="0" borderId="20" xfId="0" applyNumberFormat="1" applyFont="1" applyBorder="1" applyAlignment="1">
      <alignment horizontal="right" vertical="center" wrapText="1"/>
    </xf>
    <xf numFmtId="165" fontId="12" fillId="0" borderId="20" xfId="0" applyNumberFormat="1" applyFont="1" applyBorder="1" applyAlignment="1">
      <alignment horizontal="right" vertical="center" wrapText="1"/>
    </xf>
    <xf numFmtId="3" fontId="8" fillId="0" borderId="19" xfId="0" applyNumberFormat="1" applyFont="1" applyBorder="1" applyAlignment="1">
      <alignment horizontal="right" vertical="center" wrapText="1"/>
    </xf>
    <xf numFmtId="3" fontId="12" fillId="0" borderId="5" xfId="0" applyNumberFormat="1" applyFont="1" applyBorder="1" applyAlignment="1">
      <alignment horizontal="right" vertical="center" wrapText="1"/>
    </xf>
    <xf numFmtId="3" fontId="12" fillId="0" borderId="4" xfId="0" applyNumberFormat="1" applyFont="1" applyBorder="1" applyAlignment="1">
      <alignment horizontal="right" vertical="center" wrapText="1"/>
    </xf>
    <xf numFmtId="3" fontId="12" fillId="2" borderId="16" xfId="0" applyNumberFormat="1" applyFont="1" applyFill="1" applyBorder="1" applyAlignment="1">
      <alignment horizontal="right" vertical="center" wrapText="1"/>
    </xf>
    <xf numFmtId="3" fontId="8" fillId="0" borderId="27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3" fontId="12" fillId="0" borderId="4" xfId="0" applyNumberFormat="1" applyFont="1" applyBorder="1" applyAlignment="1">
      <alignment horizontal="right" vertical="center"/>
    </xf>
    <xf numFmtId="3" fontId="10" fillId="0" borderId="4" xfId="0" applyNumberFormat="1" applyFont="1" applyBorder="1" applyAlignment="1">
      <alignment horizontal="right" vertical="center" wrapText="1"/>
    </xf>
    <xf numFmtId="3" fontId="10" fillId="0" borderId="4" xfId="0" applyNumberFormat="1" applyFont="1" applyBorder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/>
    </xf>
    <xf numFmtId="3" fontId="8" fillId="2" borderId="27" xfId="0" applyNumberFormat="1" applyFont="1" applyFill="1" applyBorder="1" applyAlignment="1">
      <alignment horizontal="right" vertical="center" wrapText="1"/>
    </xf>
    <xf numFmtId="3" fontId="4" fillId="2" borderId="4" xfId="0" applyNumberFormat="1" applyFont="1" applyFill="1" applyBorder="1" applyAlignment="1">
      <alignment horizontal="right" vertical="center" wrapText="1"/>
    </xf>
    <xf numFmtId="3" fontId="12" fillId="4" borderId="4" xfId="0" applyNumberFormat="1" applyFont="1" applyFill="1" applyBorder="1" applyAlignment="1">
      <alignment horizontal="right" vertical="center" wrapText="1"/>
    </xf>
    <xf numFmtId="3" fontId="8" fillId="0" borderId="43" xfId="0" applyNumberFormat="1" applyFont="1" applyBorder="1" applyAlignment="1">
      <alignment horizontal="right" vertical="center"/>
    </xf>
    <xf numFmtId="3" fontId="8" fillId="0" borderId="35" xfId="0" applyNumberFormat="1" applyFont="1" applyBorder="1" applyAlignment="1">
      <alignment horizontal="right" vertical="center" wrapText="1"/>
    </xf>
    <xf numFmtId="3" fontId="6" fillId="0" borderId="0" xfId="0" applyNumberFormat="1" applyFont="1" applyAlignment="1">
      <alignment vertical="center"/>
    </xf>
    <xf numFmtId="166" fontId="12" fillId="2" borderId="7" xfId="0" applyNumberFormat="1" applyFont="1" applyFill="1" applyBorder="1" applyAlignment="1">
      <alignment vertical="center" wrapText="1"/>
    </xf>
    <xf numFmtId="3" fontId="4" fillId="3" borderId="4" xfId="2" applyNumberFormat="1" applyFont="1" applyFill="1" applyBorder="1" applyAlignment="1">
      <alignment horizontal="right" vertical="center"/>
    </xf>
    <xf numFmtId="3" fontId="4" fillId="7" borderId="26" xfId="2" applyNumberFormat="1" applyFont="1" applyFill="1" applyBorder="1" applyAlignment="1">
      <alignment horizontal="right" vertical="center"/>
    </xf>
    <xf numFmtId="3" fontId="4" fillId="7" borderId="4" xfId="2" applyNumberFormat="1" applyFont="1" applyFill="1" applyBorder="1" applyAlignment="1">
      <alignment horizontal="right" vertical="center" shrinkToFit="1"/>
    </xf>
    <xf numFmtId="3" fontId="5" fillId="3" borderId="4" xfId="0" applyNumberFormat="1" applyFont="1" applyFill="1" applyBorder="1" applyAlignment="1">
      <alignment horizontal="right" vertical="center"/>
    </xf>
    <xf numFmtId="3" fontId="5" fillId="3" borderId="15" xfId="0" applyNumberFormat="1" applyFont="1" applyFill="1" applyBorder="1" applyAlignment="1">
      <alignment vertical="center"/>
    </xf>
    <xf numFmtId="166" fontId="12" fillId="2" borderId="9" xfId="0" applyNumberFormat="1" applyFont="1" applyFill="1" applyBorder="1" applyAlignment="1">
      <alignment vertical="center" wrapText="1"/>
    </xf>
    <xf numFmtId="0" fontId="1" fillId="0" borderId="0" xfId="0" applyFont="1"/>
    <xf numFmtId="0" fontId="7" fillId="0" borderId="0" xfId="0" applyFont="1" applyAlignment="1">
      <alignment horizontal="centerContinuous"/>
    </xf>
    <xf numFmtId="0" fontId="4" fillId="0" borderId="0" xfId="0" applyFont="1" applyAlignment="1">
      <alignment horizontal="right"/>
    </xf>
    <xf numFmtId="3" fontId="5" fillId="3" borderId="7" xfId="0" applyNumberFormat="1" applyFont="1" applyFill="1" applyBorder="1" applyAlignment="1">
      <alignment vertical="center"/>
    </xf>
    <xf numFmtId="3" fontId="23" fillId="3" borderId="4" xfId="0" applyNumberFormat="1" applyFont="1" applyFill="1" applyBorder="1" applyAlignment="1">
      <alignment vertical="center"/>
    </xf>
    <xf numFmtId="3" fontId="23" fillId="3" borderId="7" xfId="0" applyNumberFormat="1" applyFont="1" applyFill="1" applyBorder="1" applyAlignment="1">
      <alignment vertical="center"/>
    </xf>
    <xf numFmtId="0" fontId="23" fillId="3" borderId="0" xfId="0" applyFont="1" applyFill="1"/>
    <xf numFmtId="0" fontId="13" fillId="3" borderId="4" xfId="0" applyFont="1" applyFill="1" applyBorder="1" applyAlignment="1">
      <alignment horizontal="center" vertical="center"/>
    </xf>
    <xf numFmtId="3" fontId="5" fillId="0" borderId="15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3" fontId="5" fillId="3" borderId="20" xfId="2" applyNumberFormat="1" applyFont="1" applyFill="1" applyBorder="1" applyAlignment="1">
      <alignment vertical="center"/>
    </xf>
    <xf numFmtId="0" fontId="5" fillId="3" borderId="0" xfId="2" applyFont="1" applyFill="1"/>
    <xf numFmtId="0" fontId="5" fillId="3" borderId="25" xfId="7" applyFont="1" applyFill="1" applyBorder="1" applyAlignment="1">
      <alignment horizontal="center" vertical="center"/>
    </xf>
    <xf numFmtId="3" fontId="5" fillId="3" borderId="18" xfId="2" applyNumberFormat="1" applyFont="1" applyFill="1" applyBorder="1" applyAlignment="1">
      <alignment vertical="center"/>
    </xf>
    <xf numFmtId="3" fontId="5" fillId="3" borderId="5" xfId="2" applyNumberFormat="1" applyFont="1" applyFill="1" applyBorder="1" applyAlignment="1">
      <alignment vertical="center"/>
    </xf>
    <xf numFmtId="3" fontId="5" fillId="3" borderId="19" xfId="2" applyNumberFormat="1" applyFont="1" applyFill="1" applyBorder="1" applyAlignment="1">
      <alignment vertical="center"/>
    </xf>
    <xf numFmtId="0" fontId="39" fillId="3" borderId="0" xfId="0" applyFont="1" applyFill="1"/>
    <xf numFmtId="0" fontId="36" fillId="3" borderId="0" xfId="0" applyFont="1" applyFill="1"/>
    <xf numFmtId="3" fontId="23" fillId="3" borderId="4" xfId="0" applyNumberFormat="1" applyFont="1" applyFill="1" applyBorder="1" applyAlignment="1">
      <alignment horizontal="right" vertical="center"/>
    </xf>
    <xf numFmtId="3" fontId="23" fillId="3" borderId="15" xfId="0" applyNumberFormat="1" applyFont="1" applyFill="1" applyBorder="1" applyAlignment="1">
      <alignment horizontal="right" vertical="center"/>
    </xf>
    <xf numFmtId="0" fontId="4" fillId="10" borderId="37" xfId="0" applyFont="1" applyFill="1" applyBorder="1" applyAlignment="1">
      <alignment horizontal="center" vertical="center" textRotation="90"/>
    </xf>
    <xf numFmtId="0" fontId="4" fillId="10" borderId="38" xfId="0" applyFont="1" applyFill="1" applyBorder="1" applyAlignment="1">
      <alignment horizontal="center" vertical="center"/>
    </xf>
    <xf numFmtId="3" fontId="8" fillId="10" borderId="38" xfId="0" applyNumberFormat="1" applyFont="1" applyFill="1" applyBorder="1" applyAlignment="1">
      <alignment horizontal="center" vertical="center" wrapText="1"/>
    </xf>
    <xf numFmtId="3" fontId="8" fillId="10" borderId="39" xfId="0" applyNumberFormat="1" applyFont="1" applyFill="1" applyBorder="1" applyAlignment="1">
      <alignment horizontal="center" vertical="center" wrapText="1"/>
    </xf>
    <xf numFmtId="3" fontId="4" fillId="10" borderId="8" xfId="0" applyNumberFormat="1" applyFont="1" applyFill="1" applyBorder="1" applyAlignment="1">
      <alignment vertical="center"/>
    </xf>
    <xf numFmtId="165" fontId="4" fillId="10" borderId="11" xfId="0" applyNumberFormat="1" applyFont="1" applyFill="1" applyBorder="1" applyAlignment="1">
      <alignment horizontal="right" vertical="center" indent="1"/>
    </xf>
    <xf numFmtId="3" fontId="4" fillId="10" borderId="15" xfId="0" applyNumberFormat="1" applyFont="1" applyFill="1" applyBorder="1" applyAlignment="1">
      <alignment vertical="center"/>
    </xf>
    <xf numFmtId="165" fontId="4" fillId="10" borderId="9" xfId="0" applyNumberFormat="1" applyFont="1" applyFill="1" applyBorder="1" applyAlignment="1">
      <alignment horizontal="right" vertical="center" indent="1"/>
    </xf>
    <xf numFmtId="3" fontId="19" fillId="10" borderId="40" xfId="0" applyNumberFormat="1" applyFont="1" applyFill="1" applyBorder="1" applyAlignment="1">
      <alignment vertical="center"/>
    </xf>
    <xf numFmtId="165" fontId="19" fillId="10" borderId="41" xfId="0" applyNumberFormat="1" applyFont="1" applyFill="1" applyBorder="1" applyAlignment="1">
      <alignment horizontal="right" vertical="center" indent="1"/>
    </xf>
    <xf numFmtId="0" fontId="5" fillId="3" borderId="5" xfId="7" applyFont="1" applyFill="1" applyBorder="1" applyAlignment="1">
      <alignment horizontal="left" vertical="center" wrapText="1"/>
    </xf>
    <xf numFmtId="3" fontId="5" fillId="3" borderId="15" xfId="7" applyNumberFormat="1" applyFont="1" applyFill="1" applyBorder="1" applyAlignment="1">
      <alignment vertical="center" wrapText="1"/>
    </xf>
    <xf numFmtId="0" fontId="5" fillId="3" borderId="5" xfId="7" applyFont="1" applyFill="1" applyBorder="1" applyAlignment="1">
      <alignment horizontal="left" vertical="center"/>
    </xf>
    <xf numFmtId="3" fontId="4" fillId="10" borderId="26" xfId="2" applyNumberFormat="1" applyFont="1" applyFill="1" applyBorder="1" applyAlignment="1">
      <alignment horizontal="right" vertical="center"/>
    </xf>
    <xf numFmtId="3" fontId="4" fillId="10" borderId="65" xfId="2" applyNumberFormat="1" applyFont="1" applyFill="1" applyBorder="1" applyAlignment="1">
      <alignment horizontal="right" vertical="center"/>
    </xf>
    <xf numFmtId="166" fontId="4" fillId="10" borderId="34" xfId="2" applyNumberFormat="1" applyFont="1" applyFill="1" applyBorder="1" applyAlignment="1">
      <alignment horizontal="right" vertical="center" indent="1"/>
    </xf>
    <xf numFmtId="0" fontId="5" fillId="0" borderId="1" xfId="0" applyFont="1" applyBorder="1" applyAlignment="1">
      <alignment horizontal="center" vertical="center"/>
    </xf>
    <xf numFmtId="3" fontId="5" fillId="3" borderId="15" xfId="0" applyNumberFormat="1" applyFont="1" applyFill="1" applyBorder="1" applyAlignment="1">
      <alignment horizontal="right" vertical="center"/>
    </xf>
    <xf numFmtId="0" fontId="23" fillId="3" borderId="5" xfId="7" applyFont="1" applyFill="1" applyBorder="1" applyAlignment="1">
      <alignment vertical="center" shrinkToFit="1"/>
    </xf>
    <xf numFmtId="3" fontId="5" fillId="3" borderId="5" xfId="0" applyNumberFormat="1" applyFont="1" applyFill="1" applyBorder="1" applyAlignment="1">
      <alignment horizontal="right" vertical="center"/>
    </xf>
    <xf numFmtId="0" fontId="5" fillId="0" borderId="19" xfId="7" applyFont="1" applyBorder="1" applyAlignment="1">
      <alignment vertical="center" shrinkToFit="1"/>
    </xf>
    <xf numFmtId="0" fontId="5" fillId="0" borderId="5" xfId="7" applyFont="1" applyBorder="1" applyAlignment="1">
      <alignment vertical="center" shrinkToFit="1"/>
    </xf>
    <xf numFmtId="166" fontId="4" fillId="0" borderId="7" xfId="2" applyNumberFormat="1" applyFont="1" applyBorder="1" applyAlignment="1">
      <alignment horizontal="right" vertical="center" indent="1"/>
    </xf>
    <xf numFmtId="0" fontId="5" fillId="0" borderId="51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" xfId="7" applyFont="1" applyBorder="1" applyAlignment="1">
      <alignment horizontal="left" vertical="center" shrinkToFit="1"/>
    </xf>
    <xf numFmtId="0" fontId="5" fillId="0" borderId="19" xfId="0" applyFont="1" applyBorder="1" applyAlignment="1">
      <alignment vertical="center" shrinkToFit="1"/>
    </xf>
    <xf numFmtId="0" fontId="13" fillId="0" borderId="5" xfId="7" applyFont="1" applyBorder="1" applyAlignment="1">
      <alignment vertical="center" wrapText="1"/>
    </xf>
    <xf numFmtId="0" fontId="5" fillId="0" borderId="5" xfId="0" applyFont="1" applyBorder="1" applyAlignment="1">
      <alignment vertical="center" shrinkToFit="1"/>
    </xf>
    <xf numFmtId="0" fontId="5" fillId="0" borderId="5" xfId="0" applyFont="1" applyBorder="1" applyAlignment="1">
      <alignment horizontal="left" vertical="center" shrinkToFit="1"/>
    </xf>
    <xf numFmtId="0" fontId="5" fillId="0" borderId="35" xfId="0" applyFont="1" applyBorder="1" applyAlignment="1">
      <alignment vertical="center" shrinkToFit="1"/>
    </xf>
    <xf numFmtId="3" fontId="5" fillId="0" borderId="35" xfId="0" applyNumberFormat="1" applyFont="1" applyBorder="1" applyAlignment="1">
      <alignment vertical="center"/>
    </xf>
    <xf numFmtId="0" fontId="13" fillId="0" borderId="5" xfId="7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vertical="center"/>
    </xf>
    <xf numFmtId="3" fontId="5" fillId="0" borderId="16" xfId="0" applyNumberFormat="1" applyFont="1" applyBorder="1" applyAlignment="1">
      <alignment vertical="center"/>
    </xf>
    <xf numFmtId="0" fontId="5" fillId="0" borderId="3" xfId="7" applyFont="1" applyBorder="1" applyAlignment="1">
      <alignment horizontal="center" vertical="center"/>
    </xf>
    <xf numFmtId="0" fontId="5" fillId="0" borderId="16" xfId="0" applyFont="1" applyBorder="1" applyAlignment="1">
      <alignment vertical="center" shrinkToFit="1"/>
    </xf>
    <xf numFmtId="0" fontId="4" fillId="10" borderId="8" xfId="2" applyFont="1" applyFill="1" applyBorder="1" applyAlignment="1">
      <alignment horizontal="center" vertical="center"/>
    </xf>
    <xf numFmtId="3" fontId="4" fillId="10" borderId="8" xfId="2" applyNumberFormat="1" applyFont="1" applyFill="1" applyBorder="1" applyAlignment="1">
      <alignment horizontal="center" vertical="center" wrapText="1"/>
    </xf>
    <xf numFmtId="3" fontId="15" fillId="10" borderId="8" xfId="2" applyNumberFormat="1" applyFont="1" applyFill="1" applyBorder="1" applyAlignment="1">
      <alignment horizontal="center" vertical="center" wrapText="1"/>
    </xf>
    <xf numFmtId="0" fontId="4" fillId="10" borderId="11" xfId="2" applyFont="1" applyFill="1" applyBorder="1" applyAlignment="1">
      <alignment horizontal="center" vertical="center"/>
    </xf>
    <xf numFmtId="0" fontId="7" fillId="10" borderId="25" xfId="7" applyFont="1" applyFill="1" applyBorder="1" applyAlignment="1">
      <alignment horizontal="center" vertical="center"/>
    </xf>
    <xf numFmtId="3" fontId="19" fillId="10" borderId="25" xfId="2" applyNumberFormat="1" applyFont="1" applyFill="1" applyBorder="1" applyAlignment="1">
      <alignment vertical="center"/>
    </xf>
    <xf numFmtId="3" fontId="19" fillId="10" borderId="18" xfId="2" applyNumberFormat="1" applyFont="1" applyFill="1" applyBorder="1" applyAlignment="1">
      <alignment vertical="center"/>
    </xf>
    <xf numFmtId="0" fontId="4" fillId="10" borderId="27" xfId="7" applyFont="1" applyFill="1" applyBorder="1" applyAlignment="1">
      <alignment horizontal="center" vertical="center"/>
    </xf>
    <xf numFmtId="3" fontId="19" fillId="10" borderId="27" xfId="2" applyNumberFormat="1" applyFont="1" applyFill="1" applyBorder="1" applyAlignment="1">
      <alignment vertical="center"/>
    </xf>
    <xf numFmtId="3" fontId="19" fillId="10" borderId="20" xfId="2" applyNumberFormat="1" applyFont="1" applyFill="1" applyBorder="1" applyAlignment="1">
      <alignment vertical="center"/>
    </xf>
    <xf numFmtId="0" fontId="4" fillId="10" borderId="26" xfId="7" applyFont="1" applyFill="1" applyBorder="1" applyAlignment="1">
      <alignment horizontal="center" vertical="center"/>
    </xf>
    <xf numFmtId="3" fontId="4" fillId="10" borderId="8" xfId="2" applyNumberFormat="1" applyFont="1" applyFill="1" applyBorder="1"/>
    <xf numFmtId="3" fontId="4" fillId="10" borderId="11" xfId="2" applyNumberFormat="1" applyFont="1" applyFill="1" applyBorder="1"/>
    <xf numFmtId="0" fontId="4" fillId="10" borderId="4" xfId="7" applyFont="1" applyFill="1" applyBorder="1" applyAlignment="1">
      <alignment horizontal="center" vertical="center"/>
    </xf>
    <xf numFmtId="0" fontId="4" fillId="10" borderId="8" xfId="7" applyFont="1" applyFill="1" applyBorder="1" applyAlignment="1">
      <alignment horizontal="center" vertical="center"/>
    </xf>
    <xf numFmtId="3" fontId="8" fillId="10" borderId="8" xfId="2" applyNumberFormat="1" applyFont="1" applyFill="1" applyBorder="1" applyAlignment="1">
      <alignment horizontal="center" vertical="center" wrapText="1"/>
    </xf>
    <xf numFmtId="3" fontId="4" fillId="10" borderId="11" xfId="0" applyNumberFormat="1" applyFont="1" applyFill="1" applyBorder="1" applyAlignment="1">
      <alignment vertical="center"/>
    </xf>
    <xf numFmtId="3" fontId="4" fillId="10" borderId="8" xfId="2" applyNumberFormat="1" applyFont="1" applyFill="1" applyBorder="1" applyAlignment="1">
      <alignment vertical="center"/>
    </xf>
    <xf numFmtId="3" fontId="4" fillId="10" borderId="11" xfId="2" applyNumberFormat="1" applyFont="1" applyFill="1" applyBorder="1" applyAlignment="1">
      <alignment vertical="center"/>
    </xf>
    <xf numFmtId="3" fontId="4" fillId="10" borderId="4" xfId="0" applyNumberFormat="1" applyFont="1" applyFill="1" applyBorder="1" applyAlignment="1">
      <alignment horizontal="center" vertical="center" wrapText="1"/>
    </xf>
    <xf numFmtId="3" fontId="26" fillId="10" borderId="4" xfId="0" applyNumberFormat="1" applyFont="1" applyFill="1" applyBorder="1" applyAlignment="1">
      <alignment horizontal="center" vertical="center" wrapText="1"/>
    </xf>
    <xf numFmtId="0" fontId="4" fillId="10" borderId="8" xfId="0" applyFont="1" applyFill="1" applyBorder="1" applyAlignment="1">
      <alignment horizontal="center" vertical="center"/>
    </xf>
    <xf numFmtId="3" fontId="4" fillId="10" borderId="8" xfId="0" applyNumberFormat="1" applyFont="1" applyFill="1" applyBorder="1" applyAlignment="1">
      <alignment horizontal="center" vertical="center" wrapText="1"/>
    </xf>
    <xf numFmtId="3" fontId="22" fillId="10" borderId="14" xfId="0" applyNumberFormat="1" applyFont="1" applyFill="1" applyBorder="1" applyAlignment="1">
      <alignment horizontal="center" vertical="center" textRotation="180" wrapText="1"/>
    </xf>
    <xf numFmtId="3" fontId="6" fillId="10" borderId="8" xfId="0" applyNumberFormat="1" applyFont="1" applyFill="1" applyBorder="1" applyAlignment="1">
      <alignment horizontal="center" vertical="center" textRotation="180" wrapText="1"/>
    </xf>
    <xf numFmtId="3" fontId="4" fillId="10" borderId="22" xfId="0" applyNumberFormat="1" applyFont="1" applyFill="1" applyBorder="1" applyAlignment="1">
      <alignment horizontal="center" vertical="center" wrapText="1"/>
    </xf>
    <xf numFmtId="3" fontId="8" fillId="10" borderId="23" xfId="0" applyNumberFormat="1" applyFont="1" applyFill="1" applyBorder="1" applyAlignment="1">
      <alignment horizontal="center" vertical="center" wrapText="1"/>
    </xf>
    <xf numFmtId="3" fontId="24" fillId="10" borderId="8" xfId="0" applyNumberFormat="1" applyFont="1" applyFill="1" applyBorder="1" applyAlignment="1">
      <alignment horizontal="right" vertical="center" wrapText="1"/>
    </xf>
    <xf numFmtId="3" fontId="24" fillId="10" borderId="8" xfId="0" applyNumberFormat="1" applyFont="1" applyFill="1" applyBorder="1" applyAlignment="1">
      <alignment horizontal="right" vertical="center" wrapText="1" indent="1"/>
    </xf>
    <xf numFmtId="3" fontId="24" fillId="10" borderId="28" xfId="0" applyNumberFormat="1" applyFont="1" applyFill="1" applyBorder="1" applyAlignment="1">
      <alignment horizontal="right" vertical="center" wrapText="1"/>
    </xf>
    <xf numFmtId="166" fontId="24" fillId="10" borderId="11" xfId="0" applyNumberFormat="1" applyFont="1" applyFill="1" applyBorder="1" applyAlignment="1">
      <alignment horizontal="right" vertical="center" wrapText="1"/>
    </xf>
    <xf numFmtId="3" fontId="8" fillId="10" borderId="26" xfId="0" applyNumberFormat="1" applyFont="1" applyFill="1" applyBorder="1" applyAlignment="1">
      <alignment horizontal="right" vertical="center" wrapText="1"/>
    </xf>
    <xf numFmtId="3" fontId="8" fillId="10" borderId="36" xfId="0" applyNumberFormat="1" applyFont="1" applyFill="1" applyBorder="1" applyAlignment="1">
      <alignment horizontal="right" vertical="center" wrapText="1"/>
    </xf>
    <xf numFmtId="3" fontId="24" fillId="10" borderId="11" xfId="0" applyNumberFormat="1" applyFont="1" applyFill="1" applyBorder="1" applyAlignment="1">
      <alignment horizontal="right" vertical="center" wrapText="1"/>
    </xf>
    <xf numFmtId="3" fontId="4" fillId="10" borderId="28" xfId="0" applyNumberFormat="1" applyFont="1" applyFill="1" applyBorder="1" applyAlignment="1">
      <alignment horizontal="center" vertical="center" wrapText="1"/>
    </xf>
    <xf numFmtId="3" fontId="8" fillId="10" borderId="26" xfId="0" applyNumberFormat="1" applyFont="1" applyFill="1" applyBorder="1" applyAlignment="1">
      <alignment horizontal="center" vertical="center" wrapText="1"/>
    </xf>
    <xf numFmtId="3" fontId="8" fillId="10" borderId="28" xfId="0" applyNumberFormat="1" applyFont="1" applyFill="1" applyBorder="1" applyAlignment="1">
      <alignment horizontal="right" vertical="center" wrapText="1"/>
    </xf>
    <xf numFmtId="166" fontId="8" fillId="10" borderId="11" xfId="0" applyNumberFormat="1" applyFont="1" applyFill="1" applyBorder="1" applyAlignment="1">
      <alignment horizontal="right" vertical="center" wrapText="1"/>
    </xf>
    <xf numFmtId="3" fontId="24" fillId="10" borderId="8" xfId="0" applyNumberFormat="1" applyFont="1" applyFill="1" applyBorder="1" applyAlignment="1">
      <alignment horizontal="center" vertical="center" wrapText="1"/>
    </xf>
    <xf numFmtId="3" fontId="24" fillId="10" borderId="11" xfId="0" applyNumberFormat="1" applyFont="1" applyFill="1" applyBorder="1" applyAlignment="1">
      <alignment horizontal="center" vertical="center" wrapText="1"/>
    </xf>
    <xf numFmtId="3" fontId="25" fillId="10" borderId="28" xfId="0" applyNumberFormat="1" applyFont="1" applyFill="1" applyBorder="1" applyAlignment="1">
      <alignment horizontal="center" vertical="center" wrapText="1"/>
    </xf>
    <xf numFmtId="3" fontId="8" fillId="10" borderId="36" xfId="0" applyNumberFormat="1" applyFont="1" applyFill="1" applyBorder="1" applyAlignment="1">
      <alignment horizontal="center" vertical="center" wrapText="1"/>
    </xf>
    <xf numFmtId="3" fontId="8" fillId="10" borderId="22" xfId="0" applyNumberFormat="1" applyFont="1" applyFill="1" applyBorder="1" applyAlignment="1">
      <alignment horizontal="right" vertical="center" wrapText="1"/>
    </xf>
    <xf numFmtId="3" fontId="8" fillId="10" borderId="8" xfId="0" applyNumberFormat="1" applyFont="1" applyFill="1" applyBorder="1" applyAlignment="1">
      <alignment horizontal="right" vertical="center" wrapText="1"/>
    </xf>
    <xf numFmtId="165" fontId="8" fillId="10" borderId="34" xfId="0" applyNumberFormat="1" applyFont="1" applyFill="1" applyBorder="1" applyAlignment="1">
      <alignment horizontal="right" vertical="center" wrapText="1"/>
    </xf>
    <xf numFmtId="3" fontId="8" fillId="10" borderId="22" xfId="0" applyNumberFormat="1" applyFont="1" applyFill="1" applyBorder="1" applyAlignment="1">
      <alignment horizontal="center" vertical="center" wrapText="1"/>
    </xf>
    <xf numFmtId="165" fontId="24" fillId="10" borderId="8" xfId="0" applyNumberFormat="1" applyFont="1" applyFill="1" applyBorder="1" applyAlignment="1">
      <alignment horizontal="right" vertical="center" wrapText="1"/>
    </xf>
    <xf numFmtId="3" fontId="24" fillId="10" borderId="21" xfId="0" applyNumberFormat="1" applyFont="1" applyFill="1" applyBorder="1" applyAlignment="1">
      <alignment horizontal="center" vertical="center" wrapText="1"/>
    </xf>
    <xf numFmtId="3" fontId="24" fillId="10" borderId="21" xfId="0" applyNumberFormat="1" applyFont="1" applyFill="1" applyBorder="1" applyAlignment="1">
      <alignment horizontal="right" vertical="center" wrapText="1"/>
    </xf>
    <xf numFmtId="3" fontId="8" fillId="10" borderId="34" xfId="0" applyNumberFormat="1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/>
    </xf>
    <xf numFmtId="3" fontId="8" fillId="11" borderId="4" xfId="0" applyNumberFormat="1" applyFont="1" applyFill="1" applyBorder="1" applyAlignment="1">
      <alignment horizontal="right" vertical="center" wrapText="1"/>
    </xf>
    <xf numFmtId="166" fontId="8" fillId="11" borderId="7" xfId="0" applyNumberFormat="1" applyFont="1" applyFill="1" applyBorder="1" applyAlignment="1">
      <alignment horizontal="right" vertical="center" wrapText="1"/>
    </xf>
    <xf numFmtId="3" fontId="4" fillId="11" borderId="3" xfId="0" applyNumberFormat="1" applyFont="1" applyFill="1" applyBorder="1" applyAlignment="1">
      <alignment horizontal="center" vertical="center" wrapText="1"/>
    </xf>
    <xf numFmtId="165" fontId="8" fillId="11" borderId="7" xfId="0" applyNumberFormat="1" applyFont="1" applyFill="1" applyBorder="1" applyAlignment="1">
      <alignment horizontal="right" vertical="center" wrapText="1"/>
    </xf>
    <xf numFmtId="0" fontId="8" fillId="11" borderId="2" xfId="0" applyFont="1" applyFill="1" applyBorder="1" applyAlignment="1">
      <alignment vertical="center"/>
    </xf>
    <xf numFmtId="3" fontId="10" fillId="11" borderId="4" xfId="0" applyNumberFormat="1" applyFont="1" applyFill="1" applyBorder="1" applyAlignment="1">
      <alignment horizontal="center" vertical="center" wrapText="1"/>
    </xf>
    <xf numFmtId="0" fontId="10" fillId="11" borderId="4" xfId="0" applyFont="1" applyFill="1" applyBorder="1" applyAlignment="1">
      <alignment horizontal="left" vertical="center"/>
    </xf>
    <xf numFmtId="3" fontId="12" fillId="11" borderId="4" xfId="0" applyNumberFormat="1" applyFont="1" applyFill="1" applyBorder="1" applyAlignment="1">
      <alignment horizontal="right" vertical="center" wrapText="1"/>
    </xf>
    <xf numFmtId="166" fontId="12" fillId="11" borderId="7" xfId="0" applyNumberFormat="1" applyFont="1" applyFill="1" applyBorder="1" applyAlignment="1">
      <alignment horizontal="right" vertical="center" wrapText="1"/>
    </xf>
    <xf numFmtId="3" fontId="4" fillId="11" borderId="2" xfId="0" applyNumberFormat="1" applyFont="1" applyFill="1" applyBorder="1" applyAlignment="1">
      <alignment vertical="center" wrapText="1"/>
    </xf>
    <xf numFmtId="3" fontId="12" fillId="11" borderId="5" xfId="0" applyNumberFormat="1" applyFont="1" applyFill="1" applyBorder="1" applyAlignment="1">
      <alignment horizontal="right" vertical="center" wrapText="1"/>
    </xf>
    <xf numFmtId="165" fontId="12" fillId="11" borderId="7" xfId="0" applyNumberFormat="1" applyFont="1" applyFill="1" applyBorder="1" applyAlignment="1">
      <alignment horizontal="right" vertical="center" wrapText="1"/>
    </xf>
    <xf numFmtId="0" fontId="8" fillId="11" borderId="12" xfId="0" applyFont="1" applyFill="1" applyBorder="1" applyAlignment="1">
      <alignment vertical="center"/>
    </xf>
    <xf numFmtId="3" fontId="10" fillId="11" borderId="8" xfId="0" applyNumberFormat="1" applyFont="1" applyFill="1" applyBorder="1" applyAlignment="1">
      <alignment horizontal="center" vertical="center" wrapText="1"/>
    </xf>
    <xf numFmtId="0" fontId="10" fillId="11" borderId="8" xfId="0" applyFont="1" applyFill="1" applyBorder="1" applyAlignment="1">
      <alignment horizontal="left" vertical="center"/>
    </xf>
    <xf numFmtId="3" fontId="12" fillId="11" borderId="8" xfId="0" applyNumberFormat="1" applyFont="1" applyFill="1" applyBorder="1" applyAlignment="1">
      <alignment horizontal="right" vertical="center" wrapText="1"/>
    </xf>
    <xf numFmtId="166" fontId="12" fillId="11" borderId="11" xfId="0" applyNumberFormat="1" applyFont="1" applyFill="1" applyBorder="1" applyAlignment="1">
      <alignment horizontal="right" vertical="center" wrapText="1"/>
    </xf>
    <xf numFmtId="3" fontId="4" fillId="11" borderId="12" xfId="0" applyNumberFormat="1" applyFont="1" applyFill="1" applyBorder="1" applyAlignment="1">
      <alignment vertical="center" wrapText="1"/>
    </xf>
    <xf numFmtId="3" fontId="12" fillId="11" borderId="21" xfId="0" applyNumberFormat="1" applyFont="1" applyFill="1" applyBorder="1" applyAlignment="1">
      <alignment horizontal="right" vertical="center" wrapText="1"/>
    </xf>
    <xf numFmtId="165" fontId="12" fillId="11" borderId="11" xfId="0" applyNumberFormat="1" applyFont="1" applyFill="1" applyBorder="1" applyAlignment="1">
      <alignment horizontal="right" vertical="center" wrapText="1"/>
    </xf>
    <xf numFmtId="3" fontId="4" fillId="11" borderId="29" xfId="0" applyNumberFormat="1" applyFont="1" applyFill="1" applyBorder="1" applyAlignment="1">
      <alignment horizontal="center" vertical="center" wrapText="1"/>
    </xf>
    <xf numFmtId="3" fontId="4" fillId="11" borderId="59" xfId="0" applyNumberFormat="1" applyFont="1" applyFill="1" applyBorder="1" applyAlignment="1">
      <alignment vertical="center" wrapText="1"/>
    </xf>
    <xf numFmtId="166" fontId="12" fillId="11" borderId="34" xfId="0" applyNumberFormat="1" applyFont="1" applyFill="1" applyBorder="1" applyAlignment="1">
      <alignment horizontal="right" vertical="center" wrapText="1"/>
    </xf>
    <xf numFmtId="3" fontId="4" fillId="11" borderId="36" xfId="0" applyNumberFormat="1" applyFont="1" applyFill="1" applyBorder="1" applyAlignment="1">
      <alignment vertical="center" wrapText="1"/>
    </xf>
    <xf numFmtId="0" fontId="4" fillId="11" borderId="8" xfId="7" applyFont="1" applyFill="1" applyBorder="1" applyAlignment="1">
      <alignment horizontal="center" vertical="center"/>
    </xf>
    <xf numFmtId="3" fontId="4" fillId="11" borderId="8" xfId="2" applyNumberFormat="1" applyFont="1" applyFill="1" applyBorder="1" applyAlignment="1">
      <alignment vertical="center"/>
    </xf>
    <xf numFmtId="3" fontId="4" fillId="11" borderId="11" xfId="2" applyNumberFormat="1" applyFont="1" applyFill="1" applyBorder="1" applyAlignment="1">
      <alignment vertical="center"/>
    </xf>
    <xf numFmtId="0" fontId="4" fillId="11" borderId="26" xfId="7" applyFont="1" applyFill="1" applyBorder="1" applyAlignment="1">
      <alignment horizontal="center" vertical="center"/>
    </xf>
    <xf numFmtId="0" fontId="4" fillId="11" borderId="45" xfId="7" applyFont="1" applyFill="1" applyBorder="1" applyAlignment="1">
      <alignment horizontal="center" vertical="center"/>
    </xf>
    <xf numFmtId="3" fontId="4" fillId="11" borderId="15" xfId="2" applyNumberFormat="1" applyFont="1" applyFill="1" applyBorder="1" applyAlignment="1">
      <alignment vertical="center"/>
    </xf>
    <xf numFmtId="3" fontId="4" fillId="11" borderId="9" xfId="2" applyNumberFormat="1" applyFont="1" applyFill="1" applyBorder="1" applyAlignment="1">
      <alignment vertical="center"/>
    </xf>
    <xf numFmtId="3" fontId="40" fillId="0" borderId="24" xfId="0" applyNumberFormat="1" applyFont="1" applyBorder="1" applyAlignment="1" applyProtection="1">
      <alignment horizontal="right" vertical="center" wrapText="1"/>
      <protection locked="0"/>
    </xf>
    <xf numFmtId="3" fontId="40" fillId="3" borderId="24" xfId="0" applyNumberFormat="1" applyFont="1" applyFill="1" applyBorder="1" applyAlignment="1" applyProtection="1">
      <alignment horizontal="right" vertical="center" wrapText="1"/>
      <protection locked="0"/>
    </xf>
    <xf numFmtId="3" fontId="40" fillId="0" borderId="24" xfId="0" applyNumberFormat="1" applyFont="1" applyBorder="1" applyAlignment="1" applyProtection="1">
      <alignment horizontal="right" vertical="center"/>
      <protection locked="0"/>
    </xf>
    <xf numFmtId="3" fontId="41" fillId="0" borderId="24" xfId="0" applyNumberFormat="1" applyFont="1" applyBorder="1" applyAlignment="1" applyProtection="1">
      <alignment horizontal="right" vertical="center"/>
      <protection locked="0"/>
    </xf>
    <xf numFmtId="165" fontId="42" fillId="2" borderId="7" xfId="0" applyNumberFormat="1" applyFont="1" applyFill="1" applyBorder="1" applyAlignment="1">
      <alignment horizontal="right" vertical="center" wrapText="1"/>
    </xf>
    <xf numFmtId="0" fontId="4" fillId="10" borderId="8" xfId="0" applyFont="1" applyFill="1" applyBorder="1" applyAlignment="1">
      <alignment horizontal="center"/>
    </xf>
    <xf numFmtId="3" fontId="4" fillId="10" borderId="8" xfId="0" applyNumberFormat="1" applyFont="1" applyFill="1" applyBorder="1"/>
    <xf numFmtId="3" fontId="4" fillId="10" borderId="11" xfId="0" applyNumberFormat="1" applyFont="1" applyFill="1" applyBorder="1"/>
    <xf numFmtId="0" fontId="4" fillId="10" borderId="8" xfId="0" applyFont="1" applyFill="1" applyBorder="1" applyAlignment="1">
      <alignment horizontal="center" vertical="center" wrapText="1"/>
    </xf>
    <xf numFmtId="0" fontId="4" fillId="10" borderId="26" xfId="2" applyFont="1" applyFill="1" applyBorder="1" applyAlignment="1">
      <alignment horizontal="center" vertical="center"/>
    </xf>
    <xf numFmtId="3" fontId="4" fillId="10" borderId="26" xfId="2" applyNumberFormat="1" applyFont="1" applyFill="1" applyBorder="1" applyAlignment="1">
      <alignment horizontal="center" vertical="center" wrapText="1"/>
    </xf>
    <xf numFmtId="3" fontId="8" fillId="10" borderId="26" xfId="2" applyNumberFormat="1" applyFont="1" applyFill="1" applyBorder="1" applyAlignment="1">
      <alignment horizontal="center" vertical="center" wrapText="1"/>
    </xf>
    <xf numFmtId="0" fontId="8" fillId="10" borderId="65" xfId="2" applyFont="1" applyFill="1" applyBorder="1" applyAlignment="1">
      <alignment horizontal="center" vertical="center" wrapText="1"/>
    </xf>
    <xf numFmtId="0" fontId="4" fillId="10" borderId="34" xfId="2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6" fillId="0" borderId="4" xfId="7" applyFont="1" applyBorder="1" applyAlignment="1">
      <alignment horizontal="center" vertical="center"/>
    </xf>
    <xf numFmtId="0" fontId="13" fillId="0" borderId="4" xfId="7" applyFont="1" applyBorder="1" applyAlignment="1">
      <alignment horizontal="center" vertical="center" wrapText="1"/>
    </xf>
    <xf numFmtId="3" fontId="4" fillId="10" borderId="26" xfId="2" applyNumberFormat="1" applyFont="1" applyFill="1" applyBorder="1" applyAlignment="1">
      <alignment vertical="center"/>
    </xf>
    <xf numFmtId="3" fontId="4" fillId="10" borderId="34" xfId="2" applyNumberFormat="1" applyFont="1" applyFill="1" applyBorder="1" applyAlignment="1">
      <alignment vertical="center"/>
    </xf>
    <xf numFmtId="164" fontId="23" fillId="3" borderId="0" xfId="0" applyNumberFormat="1" applyFont="1" applyFill="1"/>
    <xf numFmtId="3" fontId="4" fillId="10" borderId="25" xfId="2" applyNumberFormat="1" applyFont="1" applyFill="1" applyBorder="1" applyAlignment="1">
      <alignment vertical="center"/>
    </xf>
    <xf numFmtId="3" fontId="4" fillId="10" borderId="18" xfId="2" applyNumberFormat="1" applyFont="1" applyFill="1" applyBorder="1" applyAlignment="1">
      <alignment vertical="center"/>
    </xf>
    <xf numFmtId="3" fontId="4" fillId="10" borderId="27" xfId="2" applyNumberFormat="1" applyFont="1" applyFill="1" applyBorder="1" applyAlignment="1">
      <alignment vertical="center"/>
    </xf>
    <xf numFmtId="3" fontId="4" fillId="10" borderId="20" xfId="2" applyNumberFormat="1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8" fillId="8" borderId="25" xfId="0" applyFont="1" applyFill="1" applyBorder="1" applyAlignment="1">
      <alignment horizontal="center"/>
    </xf>
    <xf numFmtId="3" fontId="4" fillId="8" borderId="25" xfId="0" applyNumberFormat="1" applyFont="1" applyFill="1" applyBorder="1"/>
    <xf numFmtId="0" fontId="4" fillId="8" borderId="4" xfId="0" applyFont="1" applyFill="1" applyBorder="1" applyAlignment="1">
      <alignment horizontal="center"/>
    </xf>
    <xf numFmtId="3" fontId="4" fillId="8" borderId="27" xfId="0" applyNumberFormat="1" applyFont="1" applyFill="1" applyBorder="1"/>
    <xf numFmtId="0" fontId="8" fillId="9" borderId="25" xfId="0" applyFont="1" applyFill="1" applyBorder="1" applyAlignment="1">
      <alignment horizontal="center"/>
    </xf>
    <xf numFmtId="3" fontId="4" fillId="9" borderId="25" xfId="0" applyNumberFormat="1" applyFont="1" applyFill="1" applyBorder="1"/>
    <xf numFmtId="3" fontId="4" fillId="9" borderId="18" xfId="0" applyNumberFormat="1" applyFont="1" applyFill="1" applyBorder="1"/>
    <xf numFmtId="0" fontId="4" fillId="9" borderId="4" xfId="0" applyFont="1" applyFill="1" applyBorder="1" applyAlignment="1">
      <alignment horizontal="center"/>
    </xf>
    <xf numFmtId="3" fontId="4" fillId="9" borderId="4" xfId="0" applyNumberFormat="1" applyFont="1" applyFill="1" applyBorder="1"/>
    <xf numFmtId="3" fontId="4" fillId="9" borderId="7" xfId="0" applyNumberFormat="1" applyFont="1" applyFill="1" applyBorder="1"/>
    <xf numFmtId="0" fontId="8" fillId="10" borderId="25" xfId="0" applyFont="1" applyFill="1" applyBorder="1" applyAlignment="1">
      <alignment horizontal="center"/>
    </xf>
    <xf numFmtId="3" fontId="4" fillId="10" borderId="25" xfId="0" applyNumberFormat="1" applyFont="1" applyFill="1" applyBorder="1"/>
    <xf numFmtId="3" fontId="4" fillId="10" borderId="18" xfId="0" applyNumberFormat="1" applyFont="1" applyFill="1" applyBorder="1"/>
    <xf numFmtId="0" fontId="4" fillId="10" borderId="4" xfId="0" applyFont="1" applyFill="1" applyBorder="1" applyAlignment="1">
      <alignment horizontal="center"/>
    </xf>
    <xf numFmtId="3" fontId="4" fillId="10" borderId="4" xfId="0" applyNumberFormat="1" applyFont="1" applyFill="1" applyBorder="1"/>
    <xf numFmtId="3" fontId="4" fillId="10" borderId="7" xfId="0" applyNumberFormat="1" applyFont="1" applyFill="1" applyBorder="1"/>
    <xf numFmtId="0" fontId="13" fillId="3" borderId="4" xfId="7" applyFont="1" applyFill="1" applyBorder="1" applyAlignment="1">
      <alignment horizontal="center" vertical="center"/>
    </xf>
    <xf numFmtId="0" fontId="6" fillId="3" borderId="4" xfId="7" applyFont="1" applyFill="1" applyBorder="1" applyAlignment="1">
      <alignment horizontal="center" vertical="center"/>
    </xf>
    <xf numFmtId="0" fontId="13" fillId="3" borderId="4" xfId="7" applyFont="1" applyFill="1" applyBorder="1" applyAlignment="1">
      <alignment horizontal="center" vertical="center" wrapText="1"/>
    </xf>
    <xf numFmtId="0" fontId="43" fillId="3" borderId="0" xfId="0" applyFont="1" applyFill="1"/>
    <xf numFmtId="3" fontId="36" fillId="3" borderId="0" xfId="0" applyNumberFormat="1" applyFont="1" applyFill="1"/>
    <xf numFmtId="3" fontId="4" fillId="8" borderId="18" xfId="0" applyNumberFormat="1" applyFont="1" applyFill="1" applyBorder="1"/>
    <xf numFmtId="3" fontId="4" fillId="8" borderId="20" xfId="0" applyNumberFormat="1" applyFont="1" applyFill="1" applyBorder="1"/>
    <xf numFmtId="3" fontId="23" fillId="0" borderId="4" xfId="0" applyNumberFormat="1" applyFont="1" applyBorder="1"/>
    <xf numFmtId="0" fontId="8" fillId="0" borderId="0" xfId="2" applyFont="1" applyAlignment="1">
      <alignment horizontal="right"/>
    </xf>
    <xf numFmtId="0" fontId="8" fillId="0" borderId="15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left" vertical="center" wrapText="1"/>
    </xf>
    <xf numFmtId="3" fontId="8" fillId="0" borderId="15" xfId="0" applyNumberFormat="1" applyFont="1" applyBorder="1" applyAlignment="1">
      <alignment horizontal="center" vertical="center" wrapText="1"/>
    </xf>
    <xf numFmtId="3" fontId="8" fillId="0" borderId="45" xfId="0" applyNumberFormat="1" applyFont="1" applyBorder="1" applyAlignment="1">
      <alignment horizontal="center" vertical="center" wrapText="1"/>
    </xf>
    <xf numFmtId="3" fontId="8" fillId="0" borderId="27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8" fillId="0" borderId="5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54" xfId="0" applyFont="1" applyFill="1" applyBorder="1" applyAlignment="1">
      <alignment horizontal="left" vertical="center"/>
    </xf>
    <xf numFmtId="0" fontId="4" fillId="2" borderId="24" xfId="0" applyFont="1" applyFill="1" applyBorder="1" applyAlignment="1">
      <alignment horizontal="left" vertical="center"/>
    </xf>
    <xf numFmtId="49" fontId="15" fillId="2" borderId="15" xfId="0" applyNumberFormat="1" applyFont="1" applyFill="1" applyBorder="1" applyAlignment="1">
      <alignment horizontal="center" vertical="center" wrapText="1"/>
    </xf>
    <xf numFmtId="49" fontId="15" fillId="2" borderId="45" xfId="0" applyNumberFormat="1" applyFont="1" applyFill="1" applyBorder="1" applyAlignment="1">
      <alignment horizontal="center" vertical="center" wrapText="1"/>
    </xf>
    <xf numFmtId="49" fontId="15" fillId="2" borderId="27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49" fontId="16" fillId="2" borderId="24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top" wrapText="1"/>
    </xf>
    <xf numFmtId="3" fontId="7" fillId="2" borderId="1" xfId="0" applyNumberFormat="1" applyFont="1" applyFill="1" applyBorder="1" applyAlignment="1">
      <alignment horizontal="center" vertical="top" wrapText="1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4" fillId="2" borderId="19" xfId="0" applyFont="1" applyFill="1" applyBorder="1" applyAlignment="1">
      <alignment horizontal="left" vertical="center" wrapText="1"/>
    </xf>
    <xf numFmtId="0" fontId="4" fillId="2" borderId="42" xfId="0" applyFont="1" applyFill="1" applyBorder="1" applyAlignment="1">
      <alignment horizontal="left" vertical="center" wrapText="1"/>
    </xf>
    <xf numFmtId="0" fontId="4" fillId="2" borderId="43" xfId="0" applyFont="1" applyFill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24" fillId="10" borderId="48" xfId="0" applyFont="1" applyFill="1" applyBorder="1" applyAlignment="1">
      <alignment horizontal="left" vertical="center" wrapText="1"/>
    </xf>
    <xf numFmtId="0" fontId="24" fillId="10" borderId="22" xfId="0" applyFont="1" applyFill="1" applyBorder="1" applyAlignment="1">
      <alignment horizontal="left" vertical="center" wrapText="1"/>
    </xf>
    <xf numFmtId="0" fontId="24" fillId="10" borderId="28" xfId="0" applyFont="1" applyFill="1" applyBorder="1" applyAlignment="1">
      <alignment horizontal="left" vertical="center" wrapText="1"/>
    </xf>
    <xf numFmtId="0" fontId="24" fillId="10" borderId="14" xfId="0" applyFont="1" applyFill="1" applyBorder="1" applyAlignment="1">
      <alignment horizontal="left" vertical="center" wrapText="1"/>
    </xf>
    <xf numFmtId="0" fontId="24" fillId="10" borderId="8" xfId="0" applyFont="1" applyFill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47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8" fillId="2" borderId="15" xfId="0" applyNumberFormat="1" applyFont="1" applyFill="1" applyBorder="1" applyAlignment="1">
      <alignment horizontal="center" vertical="center" wrapText="1"/>
    </xf>
    <xf numFmtId="49" fontId="8" fillId="2" borderId="45" xfId="0" applyNumberFormat="1" applyFont="1" applyFill="1" applyBorder="1" applyAlignment="1">
      <alignment horizontal="center" vertical="center" wrapText="1"/>
    </xf>
    <xf numFmtId="49" fontId="8" fillId="2" borderId="27" xfId="0" applyNumberFormat="1" applyFont="1" applyFill="1" applyBorder="1" applyAlignment="1">
      <alignment horizontal="center" vertical="center" wrapText="1"/>
    </xf>
    <xf numFmtId="49" fontId="7" fillId="2" borderId="15" xfId="0" applyNumberFormat="1" applyFont="1" applyFill="1" applyBorder="1" applyAlignment="1">
      <alignment horizontal="center" vertical="center" wrapText="1"/>
    </xf>
    <xf numFmtId="49" fontId="7" fillId="2" borderId="45" xfId="0" applyNumberFormat="1" applyFont="1" applyFill="1" applyBorder="1" applyAlignment="1">
      <alignment horizontal="center" vertical="center" wrapText="1"/>
    </xf>
    <xf numFmtId="49" fontId="8" fillId="11" borderId="15" xfId="0" applyNumberFormat="1" applyFont="1" applyFill="1" applyBorder="1" applyAlignment="1">
      <alignment horizontal="center" vertical="center" wrapText="1"/>
    </xf>
    <xf numFmtId="49" fontId="8" fillId="11" borderId="45" xfId="0" applyNumberFormat="1" applyFont="1" applyFill="1" applyBorder="1" applyAlignment="1">
      <alignment horizontal="center" vertical="center" wrapText="1"/>
    </xf>
    <xf numFmtId="49" fontId="8" fillId="11" borderId="26" xfId="0" applyNumberFormat="1" applyFont="1" applyFill="1" applyBorder="1" applyAlignment="1">
      <alignment horizontal="center" vertical="center" wrapText="1"/>
    </xf>
    <xf numFmtId="0" fontId="4" fillId="11" borderId="5" xfId="0" applyFont="1" applyFill="1" applyBorder="1" applyAlignment="1">
      <alignment horizontal="left" vertical="center" wrapText="1"/>
    </xf>
    <xf numFmtId="0" fontId="4" fillId="11" borderId="54" xfId="0" applyFont="1" applyFill="1" applyBorder="1" applyAlignment="1">
      <alignment horizontal="left" vertical="center" wrapText="1"/>
    </xf>
    <xf numFmtId="0" fontId="4" fillId="11" borderId="24" xfId="0" applyFont="1" applyFill="1" applyBorder="1" applyAlignment="1">
      <alignment horizontal="left" vertical="center" wrapText="1"/>
    </xf>
    <xf numFmtId="0" fontId="10" fillId="10" borderId="21" xfId="0" applyFont="1" applyFill="1" applyBorder="1" applyAlignment="1">
      <alignment horizontal="center" vertical="center"/>
    </xf>
    <xf numFmtId="0" fontId="10" fillId="10" borderId="28" xfId="0" applyFont="1" applyFill="1" applyBorder="1" applyAlignment="1">
      <alignment horizontal="center" vertical="center"/>
    </xf>
    <xf numFmtId="3" fontId="7" fillId="10" borderId="21" xfId="0" applyNumberFormat="1" applyFont="1" applyFill="1" applyBorder="1" applyAlignment="1">
      <alignment horizontal="center" vertical="center" wrapText="1"/>
    </xf>
    <xf numFmtId="3" fontId="7" fillId="10" borderId="28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17" fillId="10" borderId="46" xfId="0" applyFont="1" applyFill="1" applyBorder="1" applyAlignment="1">
      <alignment horizontal="center" vertical="center" wrapText="1"/>
    </xf>
    <xf numFmtId="0" fontId="17" fillId="10" borderId="47" xfId="0" applyFont="1" applyFill="1" applyBorder="1" applyAlignment="1">
      <alignment horizontal="center" vertical="center" wrapText="1"/>
    </xf>
    <xf numFmtId="0" fontId="17" fillId="10" borderId="3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49" fontId="8" fillId="0" borderId="15" xfId="0" applyNumberFormat="1" applyFont="1" applyBorder="1" applyAlignment="1">
      <alignment horizontal="center" vertical="center"/>
    </xf>
    <xf numFmtId="49" fontId="8" fillId="0" borderId="45" xfId="0" applyNumberFormat="1" applyFont="1" applyBorder="1" applyAlignment="1">
      <alignment horizontal="center" vertical="center"/>
    </xf>
    <xf numFmtId="49" fontId="8" fillId="2" borderId="24" xfId="0" applyNumberFormat="1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left" vertical="center" wrapText="1"/>
    </xf>
    <xf numFmtId="0" fontId="4" fillId="2" borderId="47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horizontal="left" vertical="center" wrapText="1"/>
    </xf>
    <xf numFmtId="0" fontId="4" fillId="10" borderId="48" xfId="0" applyFont="1" applyFill="1" applyBorder="1" applyAlignment="1">
      <alignment horizontal="left" vertical="center" wrapText="1"/>
    </xf>
    <xf numFmtId="0" fontId="4" fillId="10" borderId="22" xfId="0" applyFont="1" applyFill="1" applyBorder="1" applyAlignment="1">
      <alignment horizontal="left" vertical="center" wrapText="1"/>
    </xf>
    <xf numFmtId="0" fontId="4" fillId="10" borderId="28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horizontal="left" vertical="center"/>
    </xf>
    <xf numFmtId="0" fontId="4" fillId="2" borderId="25" xfId="0" applyFont="1" applyFill="1" applyBorder="1" applyAlignment="1">
      <alignment horizontal="left" vertical="center"/>
    </xf>
    <xf numFmtId="0" fontId="4" fillId="2" borderId="43" xfId="0" applyFont="1" applyFill="1" applyBorder="1" applyAlignment="1">
      <alignment horizontal="left" vertical="center"/>
    </xf>
    <xf numFmtId="0" fontId="4" fillId="2" borderId="27" xfId="0" applyFont="1" applyFill="1" applyBorder="1" applyAlignment="1">
      <alignment horizontal="left" vertical="center"/>
    </xf>
    <xf numFmtId="49" fontId="7" fillId="2" borderId="24" xfId="0" applyNumberFormat="1" applyFont="1" applyFill="1" applyBorder="1" applyAlignment="1">
      <alignment horizontal="center" vertical="center" wrapText="1"/>
    </xf>
    <xf numFmtId="49" fontId="7" fillId="2" borderId="29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4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4" fillId="0" borderId="54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8" fillId="11" borderId="5" xfId="0" applyFont="1" applyFill="1" applyBorder="1" applyAlignment="1">
      <alignment horizontal="left" vertical="center" wrapText="1"/>
    </xf>
    <xf numFmtId="0" fontId="8" fillId="11" borderId="54" xfId="0" applyFont="1" applyFill="1" applyBorder="1" applyAlignment="1">
      <alignment horizontal="left" vertical="center" wrapText="1"/>
    </xf>
    <xf numFmtId="0" fontId="8" fillId="11" borderId="24" xfId="0" applyFont="1" applyFill="1" applyBorder="1" applyAlignment="1">
      <alignment horizontal="left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/>
    </xf>
    <xf numFmtId="0" fontId="8" fillId="10" borderId="30" xfId="0" applyFont="1" applyFill="1" applyBorder="1" applyAlignment="1">
      <alignment horizontal="center" vertical="center" textRotation="90"/>
    </xf>
    <xf numFmtId="0" fontId="8" fillId="10" borderId="13" xfId="0" applyFont="1" applyFill="1" applyBorder="1" applyAlignment="1">
      <alignment horizontal="center" vertical="center" textRotation="90"/>
    </xf>
    <xf numFmtId="0" fontId="8" fillId="10" borderId="14" xfId="0" applyFont="1" applyFill="1" applyBorder="1" applyAlignment="1">
      <alignment horizontal="center" vertical="center" textRotation="90"/>
    </xf>
    <xf numFmtId="0" fontId="4" fillId="10" borderId="25" xfId="0" applyFont="1" applyFill="1" applyBorder="1" applyAlignment="1">
      <alignment horizontal="center" vertical="center"/>
    </xf>
    <xf numFmtId="0" fontId="4" fillId="10" borderId="4" xfId="0" applyFont="1" applyFill="1" applyBorder="1" applyAlignment="1">
      <alignment horizontal="center" vertical="center"/>
    </xf>
    <xf numFmtId="0" fontId="30" fillId="10" borderId="25" xfId="0" applyFont="1" applyFill="1" applyBorder="1" applyAlignment="1">
      <alignment horizontal="center"/>
    </xf>
    <xf numFmtId="0" fontId="4" fillId="10" borderId="18" xfId="0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horizontal="center" vertical="center"/>
    </xf>
    <xf numFmtId="0" fontId="4" fillId="10" borderId="11" xfId="0" applyFont="1" applyFill="1" applyBorder="1" applyAlignment="1">
      <alignment horizontal="center" vertical="center"/>
    </xf>
    <xf numFmtId="3" fontId="4" fillId="10" borderId="4" xfId="0" applyNumberFormat="1" applyFont="1" applyFill="1" applyBorder="1" applyAlignment="1">
      <alignment horizontal="center" vertical="center" wrapText="1"/>
    </xf>
    <xf numFmtId="0" fontId="4" fillId="10" borderId="8" xfId="0" applyFont="1" applyFill="1" applyBorder="1" applyAlignment="1">
      <alignment horizontal="center" vertical="center"/>
    </xf>
    <xf numFmtId="0" fontId="7" fillId="10" borderId="4" xfId="0" applyFont="1" applyFill="1" applyBorder="1" applyAlignment="1">
      <alignment horizontal="center" vertical="center"/>
    </xf>
    <xf numFmtId="0" fontId="7" fillId="10" borderId="8" xfId="0" applyFont="1" applyFill="1" applyBorder="1" applyAlignment="1">
      <alignment horizontal="center" vertical="center"/>
    </xf>
    <xf numFmtId="3" fontId="4" fillId="10" borderId="8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7" fillId="10" borderId="15" xfId="0" applyFont="1" applyFill="1" applyBorder="1" applyAlignment="1">
      <alignment horizontal="center" vertical="center"/>
    </xf>
    <xf numFmtId="0" fontId="7" fillId="10" borderId="26" xfId="0" applyFont="1" applyFill="1" applyBorder="1" applyAlignment="1">
      <alignment horizontal="center" vertical="center"/>
    </xf>
    <xf numFmtId="3" fontId="4" fillId="10" borderId="15" xfId="0" applyNumberFormat="1" applyFont="1" applyFill="1" applyBorder="1" applyAlignment="1">
      <alignment horizontal="center" vertical="center" wrapText="1"/>
    </xf>
    <xf numFmtId="3" fontId="4" fillId="10" borderId="26" xfId="0" applyNumberFormat="1" applyFont="1" applyFill="1" applyBorder="1" applyAlignment="1">
      <alignment horizontal="center" vertical="center" wrapText="1"/>
    </xf>
    <xf numFmtId="0" fontId="8" fillId="10" borderId="37" xfId="0" applyFont="1" applyFill="1" applyBorder="1" applyAlignment="1">
      <alignment horizontal="center" vertical="center"/>
    </xf>
    <xf numFmtId="0" fontId="8" fillId="10" borderId="57" xfId="0" applyFont="1" applyFill="1" applyBorder="1" applyAlignment="1">
      <alignment horizontal="center" vertical="center"/>
    </xf>
    <xf numFmtId="0" fontId="8" fillId="10" borderId="66" xfId="0" applyFont="1" applyFill="1" applyBorder="1" applyAlignment="1">
      <alignment horizontal="center" vertical="center"/>
    </xf>
    <xf numFmtId="0" fontId="4" fillId="0" borderId="56" xfId="0" applyFont="1" applyBorder="1" applyAlignment="1">
      <alignment horizontal="right"/>
    </xf>
    <xf numFmtId="0" fontId="4" fillId="10" borderId="14" xfId="7" applyFont="1" applyFill="1" applyBorder="1" applyAlignment="1">
      <alignment horizontal="center" vertical="center"/>
    </xf>
    <xf numFmtId="0" fontId="4" fillId="10" borderId="8" xfId="7" applyFont="1" applyFill="1" applyBorder="1" applyAlignment="1">
      <alignment horizontal="center" vertical="center"/>
    </xf>
    <xf numFmtId="0" fontId="8" fillId="10" borderId="37" xfId="2" applyFont="1" applyFill="1" applyBorder="1" applyAlignment="1">
      <alignment horizontal="center" vertical="center"/>
    </xf>
    <xf numFmtId="0" fontId="8" fillId="10" borderId="57" xfId="2" applyFont="1" applyFill="1" applyBorder="1" applyAlignment="1">
      <alignment horizontal="center" vertical="center"/>
    </xf>
    <xf numFmtId="0" fontId="8" fillId="10" borderId="66" xfId="2" applyFont="1" applyFill="1" applyBorder="1" applyAlignment="1">
      <alignment horizontal="center" vertical="center"/>
    </xf>
    <xf numFmtId="0" fontId="37" fillId="10" borderId="14" xfId="7" applyFont="1" applyFill="1" applyBorder="1" applyAlignment="1">
      <alignment horizontal="center" vertical="center"/>
    </xf>
    <xf numFmtId="0" fontId="37" fillId="10" borderId="8" xfId="7" applyFont="1" applyFill="1" applyBorder="1" applyAlignment="1">
      <alignment horizontal="center" vertical="center"/>
    </xf>
    <xf numFmtId="0" fontId="4" fillId="10" borderId="55" xfId="7" applyFont="1" applyFill="1" applyBorder="1" applyAlignment="1">
      <alignment horizontal="center" vertical="center" shrinkToFit="1"/>
    </xf>
    <xf numFmtId="0" fontId="4" fillId="10" borderId="56" xfId="7" applyFont="1" applyFill="1" applyBorder="1" applyAlignment="1">
      <alignment horizontal="center" vertical="center" shrinkToFit="1"/>
    </xf>
    <xf numFmtId="3" fontId="4" fillId="10" borderId="21" xfId="0" applyNumberFormat="1" applyFont="1" applyFill="1" applyBorder="1" applyAlignment="1">
      <alignment horizontal="center" vertical="center" wrapText="1"/>
    </xf>
    <xf numFmtId="3" fontId="4" fillId="10" borderId="22" xfId="0" applyNumberFormat="1" applyFont="1" applyFill="1" applyBorder="1" applyAlignment="1">
      <alignment horizontal="center" vertical="center" wrapText="1"/>
    </xf>
    <xf numFmtId="3" fontId="4" fillId="10" borderId="28" xfId="0" applyNumberFormat="1" applyFont="1" applyFill="1" applyBorder="1" applyAlignment="1">
      <alignment horizontal="center" vertical="center" wrapText="1"/>
    </xf>
    <xf numFmtId="0" fontId="8" fillId="10" borderId="17" xfId="0" applyFont="1" applyFill="1" applyBorder="1" applyAlignment="1">
      <alignment horizontal="center" vertical="center" textRotation="90"/>
    </xf>
    <xf numFmtId="0" fontId="8" fillId="10" borderId="2" xfId="0" applyFont="1" applyFill="1" applyBorder="1" applyAlignment="1">
      <alignment horizontal="center" vertical="center" textRotation="90"/>
    </xf>
    <xf numFmtId="0" fontId="8" fillId="10" borderId="12" xfId="0" applyFont="1" applyFill="1" applyBorder="1" applyAlignment="1">
      <alignment horizontal="center" vertical="center" textRotation="90"/>
    </xf>
    <xf numFmtId="0" fontId="4" fillId="10" borderId="63" xfId="0" applyFont="1" applyFill="1" applyBorder="1" applyAlignment="1">
      <alignment horizontal="center" vertical="center"/>
    </xf>
    <xf numFmtId="0" fontId="4" fillId="10" borderId="57" xfId="0" applyFont="1" applyFill="1" applyBorder="1" applyAlignment="1">
      <alignment horizontal="center" vertical="center"/>
    </xf>
    <xf numFmtId="0" fontId="4" fillId="10" borderId="58" xfId="0" applyFont="1" applyFill="1" applyBorder="1" applyAlignment="1">
      <alignment horizontal="center" vertical="center"/>
    </xf>
    <xf numFmtId="0" fontId="4" fillId="10" borderId="19" xfId="0" applyFont="1" applyFill="1" applyBorder="1" applyAlignment="1">
      <alignment horizontal="center" vertical="center"/>
    </xf>
    <xf numFmtId="0" fontId="4" fillId="10" borderId="42" xfId="0" applyFont="1" applyFill="1" applyBorder="1" applyAlignment="1">
      <alignment horizontal="center" vertical="center"/>
    </xf>
    <xf numFmtId="0" fontId="4" fillId="10" borderId="43" xfId="0" applyFont="1" applyFill="1" applyBorder="1" applyAlignment="1">
      <alignment horizontal="center" vertical="center"/>
    </xf>
    <xf numFmtId="0" fontId="30" fillId="10" borderId="35" xfId="0" applyFont="1" applyFill="1" applyBorder="1" applyAlignment="1">
      <alignment horizontal="center"/>
    </xf>
    <xf numFmtId="0" fontId="30" fillId="10" borderId="47" xfId="0" applyFont="1" applyFill="1" applyBorder="1" applyAlignment="1">
      <alignment horizontal="center"/>
    </xf>
    <xf numFmtId="0" fontId="30" fillId="10" borderId="31" xfId="0" applyFont="1" applyFill="1" applyBorder="1" applyAlignment="1">
      <alignment horizontal="center"/>
    </xf>
    <xf numFmtId="0" fontId="4" fillId="10" borderId="39" xfId="0" applyFont="1" applyFill="1" applyBorder="1" applyAlignment="1">
      <alignment horizontal="center" vertical="center"/>
    </xf>
    <xf numFmtId="0" fontId="4" fillId="10" borderId="60" xfId="0" applyFont="1" applyFill="1" applyBorder="1" applyAlignment="1">
      <alignment horizontal="center" vertical="center"/>
    </xf>
    <xf numFmtId="0" fontId="4" fillId="10" borderId="34" xfId="0" applyFont="1" applyFill="1" applyBorder="1" applyAlignment="1">
      <alignment horizontal="center" vertical="center"/>
    </xf>
    <xf numFmtId="3" fontId="4" fillId="10" borderId="5" xfId="0" applyNumberFormat="1" applyFont="1" applyFill="1" applyBorder="1" applyAlignment="1">
      <alignment horizontal="center" vertical="center" wrapText="1"/>
    </xf>
    <xf numFmtId="3" fontId="4" fillId="10" borderId="54" xfId="0" applyNumberFormat="1" applyFont="1" applyFill="1" applyBorder="1" applyAlignment="1">
      <alignment horizontal="center" vertical="center" wrapText="1"/>
    </xf>
    <xf numFmtId="3" fontId="4" fillId="10" borderId="24" xfId="0" applyNumberFormat="1" applyFont="1" applyFill="1" applyBorder="1" applyAlignment="1">
      <alignment horizontal="center" vertical="center" wrapText="1"/>
    </xf>
    <xf numFmtId="0" fontId="4" fillId="10" borderId="15" xfId="0" applyFont="1" applyFill="1" applyBorder="1" applyAlignment="1">
      <alignment horizontal="center" vertical="center"/>
    </xf>
    <xf numFmtId="0" fontId="4" fillId="10" borderId="26" xfId="0" applyFont="1" applyFill="1" applyBorder="1" applyAlignment="1">
      <alignment horizontal="center" vertical="center"/>
    </xf>
    <xf numFmtId="0" fontId="4" fillId="10" borderId="4" xfId="2" applyFont="1" applyFill="1" applyBorder="1" applyAlignment="1">
      <alignment horizontal="center" vertical="center"/>
    </xf>
    <xf numFmtId="0" fontId="4" fillId="10" borderId="8" xfId="2" applyFont="1" applyFill="1" applyBorder="1" applyAlignment="1">
      <alignment horizontal="center" vertical="center"/>
    </xf>
    <xf numFmtId="0" fontId="7" fillId="10" borderId="4" xfId="2" applyFont="1" applyFill="1" applyBorder="1" applyAlignment="1">
      <alignment horizontal="center" vertical="center"/>
    </xf>
    <xf numFmtId="0" fontId="7" fillId="10" borderId="8" xfId="2" applyFont="1" applyFill="1" applyBorder="1" applyAlignment="1">
      <alignment horizontal="center" vertical="center"/>
    </xf>
    <xf numFmtId="0" fontId="4" fillId="0" borderId="0" xfId="2" applyFont="1" applyAlignment="1">
      <alignment horizontal="center"/>
    </xf>
    <xf numFmtId="0" fontId="24" fillId="0" borderId="0" xfId="2" applyFont="1" applyAlignment="1">
      <alignment horizontal="center"/>
    </xf>
    <xf numFmtId="0" fontId="4" fillId="0" borderId="0" xfId="2" applyFont="1" applyAlignment="1">
      <alignment horizontal="right"/>
    </xf>
    <xf numFmtId="0" fontId="5" fillId="3" borderId="17" xfId="7" applyFont="1" applyFill="1" applyBorder="1" applyAlignment="1">
      <alignment horizontal="center" vertical="center"/>
    </xf>
    <xf numFmtId="0" fontId="5" fillId="3" borderId="2" xfId="7" applyFont="1" applyFill="1" applyBorder="1" applyAlignment="1">
      <alignment horizontal="center" vertical="center"/>
    </xf>
    <xf numFmtId="0" fontId="5" fillId="3" borderId="12" xfId="7" applyFont="1" applyFill="1" applyBorder="1" applyAlignment="1">
      <alignment horizontal="center" vertical="center"/>
    </xf>
    <xf numFmtId="0" fontId="5" fillId="3" borderId="38" xfId="7" applyFont="1" applyFill="1" applyBorder="1" applyAlignment="1">
      <alignment horizontal="center" vertical="center"/>
    </xf>
    <xf numFmtId="0" fontId="5" fillId="3" borderId="45" xfId="7" applyFont="1" applyFill="1" applyBorder="1" applyAlignment="1">
      <alignment horizontal="center" vertical="center"/>
    </xf>
    <xf numFmtId="0" fontId="5" fillId="3" borderId="26" xfId="7" applyFont="1" applyFill="1" applyBorder="1" applyAlignment="1">
      <alignment horizontal="center" vertical="center"/>
    </xf>
    <xf numFmtId="164" fontId="5" fillId="3" borderId="38" xfId="7" applyNumberFormat="1" applyFont="1" applyFill="1" applyBorder="1" applyAlignment="1">
      <alignment horizontal="center" vertical="center"/>
    </xf>
    <xf numFmtId="164" fontId="5" fillId="3" borderId="45" xfId="7" applyNumberFormat="1" applyFont="1" applyFill="1" applyBorder="1" applyAlignment="1">
      <alignment horizontal="center" vertical="center"/>
    </xf>
    <xf numFmtId="164" fontId="5" fillId="3" borderId="26" xfId="7" applyNumberFormat="1" applyFont="1" applyFill="1" applyBorder="1" applyAlignment="1">
      <alignment horizontal="center" vertical="center"/>
    </xf>
    <xf numFmtId="3" fontId="4" fillId="10" borderId="4" xfId="2" applyNumberFormat="1" applyFont="1" applyFill="1" applyBorder="1" applyAlignment="1">
      <alignment horizontal="center" vertical="center" wrapText="1"/>
    </xf>
    <xf numFmtId="3" fontId="4" fillId="10" borderId="8" xfId="2" applyNumberFormat="1" applyFont="1" applyFill="1" applyBorder="1" applyAlignment="1">
      <alignment horizontal="center" vertical="center" wrapText="1"/>
    </xf>
    <xf numFmtId="3" fontId="7" fillId="10" borderId="4" xfId="2" applyNumberFormat="1" applyFont="1" applyFill="1" applyBorder="1" applyAlignment="1">
      <alignment horizontal="center" vertical="center" wrapText="1"/>
    </xf>
    <xf numFmtId="3" fontId="7" fillId="10" borderId="8" xfId="2" applyNumberFormat="1" applyFont="1" applyFill="1" applyBorder="1" applyAlignment="1">
      <alignment horizontal="center" vertical="center" wrapText="1"/>
    </xf>
    <xf numFmtId="0" fontId="8" fillId="10" borderId="30" xfId="2" applyFont="1" applyFill="1" applyBorder="1" applyAlignment="1">
      <alignment horizontal="center" vertical="center" textRotation="90"/>
    </xf>
    <xf numFmtId="0" fontId="8" fillId="10" borderId="13" xfId="2" applyFont="1" applyFill="1" applyBorder="1" applyAlignment="1">
      <alignment horizontal="center" vertical="center" textRotation="90"/>
    </xf>
    <xf numFmtId="0" fontId="8" fillId="10" borderId="14" xfId="2" applyFont="1" applyFill="1" applyBorder="1" applyAlignment="1">
      <alignment horizontal="center" vertical="center" textRotation="90"/>
    </xf>
    <xf numFmtId="0" fontId="4" fillId="10" borderId="25" xfId="2" applyFont="1" applyFill="1" applyBorder="1" applyAlignment="1">
      <alignment horizontal="center" vertical="center"/>
    </xf>
    <xf numFmtId="0" fontId="30" fillId="10" borderId="25" xfId="2" applyFont="1" applyFill="1" applyBorder="1" applyAlignment="1">
      <alignment horizontal="center"/>
    </xf>
    <xf numFmtId="0" fontId="30" fillId="10" borderId="18" xfId="2" applyFont="1" applyFill="1" applyBorder="1" applyAlignment="1">
      <alignment horizontal="center"/>
    </xf>
    <xf numFmtId="0" fontId="4" fillId="10" borderId="7" xfId="2" applyFont="1" applyFill="1" applyBorder="1" applyAlignment="1">
      <alignment horizontal="center" vertical="center"/>
    </xf>
    <xf numFmtId="0" fontId="4" fillId="10" borderId="11" xfId="2" applyFont="1" applyFill="1" applyBorder="1" applyAlignment="1">
      <alignment horizontal="center" vertical="center"/>
    </xf>
    <xf numFmtId="0" fontId="5" fillId="3" borderId="45" xfId="7" applyFont="1" applyFill="1" applyBorder="1" applyAlignment="1">
      <alignment horizontal="center" vertical="center" wrapText="1"/>
    </xf>
    <xf numFmtId="0" fontId="5" fillId="3" borderId="26" xfId="7" applyFont="1" applyFill="1" applyBorder="1" applyAlignment="1">
      <alignment horizontal="center" vertical="center" wrapText="1"/>
    </xf>
    <xf numFmtId="0" fontId="5" fillId="3" borderId="38" xfId="7" applyFont="1" applyFill="1" applyBorder="1" applyAlignment="1">
      <alignment horizontal="center" vertical="center" wrapText="1"/>
    </xf>
    <xf numFmtId="0" fontId="13" fillId="3" borderId="38" xfId="7" applyFont="1" applyFill="1" applyBorder="1" applyAlignment="1">
      <alignment horizontal="center" vertical="center"/>
    </xf>
    <xf numFmtId="0" fontId="13" fillId="3" borderId="45" xfId="7" applyFont="1" applyFill="1" applyBorder="1" applyAlignment="1">
      <alignment horizontal="center" vertical="center"/>
    </xf>
    <xf numFmtId="0" fontId="13" fillId="3" borderId="26" xfId="7" applyFont="1" applyFill="1" applyBorder="1" applyAlignment="1">
      <alignment horizontal="center" vertical="center"/>
    </xf>
    <xf numFmtId="0" fontId="13" fillId="3" borderId="38" xfId="2" applyFont="1" applyFill="1" applyBorder="1" applyAlignment="1">
      <alignment horizontal="center" vertical="center"/>
    </xf>
    <xf numFmtId="0" fontId="13" fillId="3" borderId="45" xfId="2" applyFont="1" applyFill="1" applyBorder="1" applyAlignment="1">
      <alignment horizontal="center" vertical="center"/>
    </xf>
    <xf numFmtId="0" fontId="13" fillId="3" borderId="26" xfId="2" applyFont="1" applyFill="1" applyBorder="1" applyAlignment="1">
      <alignment horizontal="center" vertical="center"/>
    </xf>
    <xf numFmtId="0" fontId="5" fillId="0" borderId="45" xfId="7" applyFont="1" applyBorder="1" applyAlignment="1">
      <alignment horizontal="center" vertical="center" wrapText="1"/>
    </xf>
    <xf numFmtId="0" fontId="5" fillId="0" borderId="26" xfId="7" applyFont="1" applyBorder="1" applyAlignment="1">
      <alignment horizontal="center" vertical="center" wrapText="1"/>
    </xf>
    <xf numFmtId="0" fontId="5" fillId="0" borderId="45" xfId="7" applyFont="1" applyBorder="1" applyAlignment="1">
      <alignment horizontal="center" vertical="center"/>
    </xf>
    <xf numFmtId="0" fontId="5" fillId="0" borderId="26" xfId="7" applyFont="1" applyBorder="1" applyAlignment="1">
      <alignment horizontal="center" vertical="center"/>
    </xf>
    <xf numFmtId="0" fontId="5" fillId="0" borderId="38" xfId="7" applyFont="1" applyBorder="1" applyAlignment="1">
      <alignment horizontal="center" vertical="center"/>
    </xf>
    <xf numFmtId="0" fontId="5" fillId="0" borderId="38" xfId="7" applyFont="1" applyBorder="1" applyAlignment="1">
      <alignment horizontal="center" vertical="center" wrapText="1"/>
    </xf>
    <xf numFmtId="0" fontId="13" fillId="0" borderId="38" xfId="7" applyFont="1" applyBorder="1" applyAlignment="1">
      <alignment horizontal="center" vertical="center" wrapText="1"/>
    </xf>
    <xf numFmtId="0" fontId="13" fillId="0" borderId="45" xfId="7" applyFont="1" applyBorder="1" applyAlignment="1">
      <alignment horizontal="center" vertical="center" wrapText="1"/>
    </xf>
    <xf numFmtId="0" fontId="13" fillId="0" borderId="26" xfId="7" applyFont="1" applyBorder="1" applyAlignment="1">
      <alignment horizontal="center" vertical="center" wrapText="1"/>
    </xf>
    <xf numFmtId="0" fontId="38" fillId="3" borderId="38" xfId="7" applyFont="1" applyFill="1" applyBorder="1" applyAlignment="1">
      <alignment horizontal="center" vertical="center" wrapText="1"/>
    </xf>
    <xf numFmtId="0" fontId="38" fillId="3" borderId="45" xfId="7" applyFont="1" applyFill="1" applyBorder="1" applyAlignment="1">
      <alignment horizontal="center" vertical="center" wrapText="1"/>
    </xf>
    <xf numFmtId="0" fontId="38" fillId="3" borderId="26" xfId="7" applyFont="1" applyFill="1" applyBorder="1" applyAlignment="1">
      <alignment horizontal="center" vertical="center" wrapText="1"/>
    </xf>
    <xf numFmtId="0" fontId="4" fillId="10" borderId="37" xfId="7" applyFont="1" applyFill="1" applyBorder="1" applyAlignment="1">
      <alignment horizontal="center" vertical="center" shrinkToFit="1"/>
    </xf>
    <xf numFmtId="0" fontId="4" fillId="10" borderId="57" xfId="7" applyFont="1" applyFill="1" applyBorder="1" applyAlignment="1">
      <alignment horizontal="center" vertical="center" shrinkToFit="1"/>
    </xf>
    <xf numFmtId="0" fontId="4" fillId="10" borderId="58" xfId="7" applyFont="1" applyFill="1" applyBorder="1" applyAlignment="1">
      <alignment horizontal="center" vertical="center" shrinkToFit="1"/>
    </xf>
    <xf numFmtId="0" fontId="4" fillId="10" borderId="51" xfId="7" applyFont="1" applyFill="1" applyBorder="1" applyAlignment="1">
      <alignment horizontal="center" vertical="center" shrinkToFit="1"/>
    </xf>
    <xf numFmtId="0" fontId="4" fillId="10" borderId="0" xfId="7" applyFont="1" applyFill="1" applyAlignment="1">
      <alignment horizontal="center" vertical="center" shrinkToFit="1"/>
    </xf>
    <xf numFmtId="0" fontId="4" fillId="10" borderId="59" xfId="7" applyFont="1" applyFill="1" applyBorder="1" applyAlignment="1">
      <alignment horizontal="center" vertical="center" shrinkToFit="1"/>
    </xf>
    <xf numFmtId="0" fontId="4" fillId="10" borderId="36" xfId="7" applyFont="1" applyFill="1" applyBorder="1" applyAlignment="1">
      <alignment horizontal="center" vertical="center" shrinkToFit="1"/>
    </xf>
    <xf numFmtId="0" fontId="23" fillId="0" borderId="57" xfId="2" applyFont="1" applyBorder="1" applyAlignment="1">
      <alignment horizontal="left"/>
    </xf>
    <xf numFmtId="0" fontId="13" fillId="3" borderId="38" xfId="7" applyFont="1" applyFill="1" applyBorder="1" applyAlignment="1">
      <alignment horizontal="center" vertical="center" wrapText="1"/>
    </xf>
    <xf numFmtId="0" fontId="13" fillId="3" borderId="45" xfId="7" applyFont="1" applyFill="1" applyBorder="1" applyAlignment="1">
      <alignment horizontal="center" vertical="center" wrapText="1"/>
    </xf>
    <xf numFmtId="0" fontId="13" fillId="3" borderId="26" xfId="7" applyFont="1" applyFill="1" applyBorder="1" applyAlignment="1">
      <alignment horizontal="center" vertical="center" wrapText="1"/>
    </xf>
    <xf numFmtId="3" fontId="30" fillId="10" borderId="25" xfId="2" applyNumberFormat="1" applyFont="1" applyFill="1" applyBorder="1" applyAlignment="1">
      <alignment horizontal="center" vertical="center" wrapText="1"/>
    </xf>
    <xf numFmtId="3" fontId="30" fillId="10" borderId="18" xfId="2" applyNumberFormat="1" applyFont="1" applyFill="1" applyBorder="1" applyAlignment="1">
      <alignment horizontal="center" vertical="center" wrapText="1"/>
    </xf>
    <xf numFmtId="3" fontId="4" fillId="10" borderId="7" xfId="2" applyNumberFormat="1" applyFont="1" applyFill="1" applyBorder="1" applyAlignment="1">
      <alignment horizontal="center" vertical="center" wrapText="1"/>
    </xf>
    <xf numFmtId="0" fontId="24" fillId="10" borderId="4" xfId="2" applyFont="1" applyFill="1" applyBorder="1" applyAlignment="1">
      <alignment horizontal="center" vertical="center"/>
    </xf>
    <xf numFmtId="0" fontId="24" fillId="10" borderId="8" xfId="2" applyFont="1" applyFill="1" applyBorder="1" applyAlignment="1">
      <alignment horizontal="center" vertical="center"/>
    </xf>
    <xf numFmtId="0" fontId="5" fillId="0" borderId="17" xfId="7" applyFont="1" applyBorder="1" applyAlignment="1">
      <alignment horizontal="center" vertical="center"/>
    </xf>
    <xf numFmtId="0" fontId="5" fillId="0" borderId="2" xfId="7" applyFont="1" applyBorder="1" applyAlignment="1">
      <alignment horizontal="center" vertical="center"/>
    </xf>
    <xf numFmtId="0" fontId="5" fillId="0" borderId="12" xfId="7" applyFont="1" applyBorder="1" applyAlignment="1">
      <alignment horizontal="center" vertical="center"/>
    </xf>
    <xf numFmtId="0" fontId="13" fillId="0" borderId="38" xfId="7" applyFont="1" applyBorder="1" applyAlignment="1">
      <alignment horizontal="center" vertical="center"/>
    </xf>
    <xf numFmtId="0" fontId="13" fillId="0" borderId="45" xfId="7" applyFont="1" applyBorder="1" applyAlignment="1">
      <alignment horizontal="center" vertical="center"/>
    </xf>
    <xf numFmtId="0" fontId="13" fillId="0" borderId="26" xfId="7" applyFont="1" applyBorder="1" applyAlignment="1">
      <alignment horizontal="center" vertical="center"/>
    </xf>
    <xf numFmtId="0" fontId="13" fillId="0" borderId="38" xfId="2" applyFont="1" applyBorder="1" applyAlignment="1">
      <alignment horizontal="center" vertical="center"/>
    </xf>
    <xf numFmtId="0" fontId="13" fillId="0" borderId="45" xfId="2" applyFont="1" applyBorder="1" applyAlignment="1">
      <alignment horizontal="center" vertical="center"/>
    </xf>
    <xf numFmtId="0" fontId="13" fillId="0" borderId="26" xfId="2" applyFont="1" applyBorder="1" applyAlignment="1">
      <alignment horizontal="center" vertical="center"/>
    </xf>
    <xf numFmtId="0" fontId="19" fillId="10" borderId="37" xfId="7" applyFont="1" applyFill="1" applyBorder="1" applyAlignment="1">
      <alignment horizontal="center" vertical="center" shrinkToFit="1"/>
    </xf>
    <xf numFmtId="0" fontId="19" fillId="10" borderId="57" xfId="7" applyFont="1" applyFill="1" applyBorder="1" applyAlignment="1">
      <alignment horizontal="center" vertical="center" shrinkToFit="1"/>
    </xf>
    <xf numFmtId="0" fontId="19" fillId="10" borderId="58" xfId="7" applyFont="1" applyFill="1" applyBorder="1" applyAlignment="1">
      <alignment horizontal="center" vertical="center" shrinkToFit="1"/>
    </xf>
    <xf numFmtId="0" fontId="19" fillId="10" borderId="51" xfId="7" applyFont="1" applyFill="1" applyBorder="1" applyAlignment="1">
      <alignment horizontal="center" vertical="center" shrinkToFit="1"/>
    </xf>
    <xf numFmtId="0" fontId="19" fillId="10" borderId="0" xfId="7" applyFont="1" applyFill="1" applyAlignment="1">
      <alignment horizontal="center" vertical="center" shrinkToFit="1"/>
    </xf>
    <xf numFmtId="0" fontId="19" fillId="10" borderId="59" xfId="7" applyFont="1" applyFill="1" applyBorder="1" applyAlignment="1">
      <alignment horizontal="center" vertical="center" shrinkToFit="1"/>
    </xf>
    <xf numFmtId="0" fontId="19" fillId="10" borderId="55" xfId="7" applyFont="1" applyFill="1" applyBorder="1" applyAlignment="1">
      <alignment horizontal="center" vertical="center" shrinkToFit="1"/>
    </xf>
    <xf numFmtId="0" fontId="19" fillId="10" borderId="56" xfId="7" applyFont="1" applyFill="1" applyBorder="1" applyAlignment="1">
      <alignment horizontal="center" vertical="center" shrinkToFit="1"/>
    </xf>
    <xf numFmtId="0" fontId="19" fillId="10" borderId="36" xfId="7" applyFont="1" applyFill="1" applyBorder="1" applyAlignment="1">
      <alignment horizontal="center" vertical="center" shrinkToFit="1"/>
    </xf>
    <xf numFmtId="0" fontId="24" fillId="10" borderId="38" xfId="2" applyFont="1" applyFill="1" applyBorder="1" applyAlignment="1">
      <alignment horizontal="center" vertical="center" wrapText="1"/>
    </xf>
    <xf numFmtId="0" fontId="24" fillId="10" borderId="45" xfId="2" applyFont="1" applyFill="1" applyBorder="1" applyAlignment="1">
      <alignment horizontal="center" vertical="center" wrapText="1"/>
    </xf>
    <xf numFmtId="0" fontId="4" fillId="10" borderId="39" xfId="2" applyFont="1" applyFill="1" applyBorder="1" applyAlignment="1">
      <alignment horizontal="center" vertical="center" wrapText="1"/>
    </xf>
    <xf numFmtId="0" fontId="4" fillId="10" borderId="60" xfId="2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4" fillId="10" borderId="55" xfId="2" applyFont="1" applyFill="1" applyBorder="1" applyAlignment="1">
      <alignment horizontal="center" vertical="center" shrinkToFit="1"/>
    </xf>
    <xf numFmtId="0" fontId="4" fillId="10" borderId="36" xfId="2" applyFont="1" applyFill="1" applyBorder="1" applyAlignment="1">
      <alignment horizontal="center" vertical="center" shrinkToFit="1"/>
    </xf>
    <xf numFmtId="0" fontId="7" fillId="10" borderId="17" xfId="2" applyFont="1" applyFill="1" applyBorder="1" applyAlignment="1">
      <alignment horizontal="center" textRotation="90"/>
    </xf>
    <xf numFmtId="0" fontId="6" fillId="10" borderId="2" xfId="2" applyFont="1" applyFill="1" applyBorder="1" applyAlignment="1">
      <alignment textRotation="90"/>
    </xf>
    <xf numFmtId="0" fontId="4" fillId="10" borderId="63" xfId="2" applyFont="1" applyFill="1" applyBorder="1" applyAlignment="1">
      <alignment horizontal="center" vertical="center" shrinkToFit="1"/>
    </xf>
    <xf numFmtId="0" fontId="5" fillId="10" borderId="33" xfId="2" applyFont="1" applyFill="1" applyBorder="1" applyAlignment="1">
      <alignment horizontal="center" vertical="center" shrinkToFit="1"/>
    </xf>
    <xf numFmtId="0" fontId="32" fillId="10" borderId="38" xfId="2" applyFont="1" applyFill="1" applyBorder="1" applyAlignment="1">
      <alignment horizontal="center" vertical="center" wrapText="1"/>
    </xf>
    <xf numFmtId="0" fontId="32" fillId="10" borderId="45" xfId="2" applyFont="1" applyFill="1" applyBorder="1" applyAlignment="1">
      <alignment horizontal="center" vertical="center" wrapText="1"/>
    </xf>
    <xf numFmtId="0" fontId="4" fillId="10" borderId="55" xfId="2" applyFont="1" applyFill="1" applyBorder="1" applyAlignment="1">
      <alignment horizontal="center" vertical="center"/>
    </xf>
    <xf numFmtId="0" fontId="4" fillId="10" borderId="56" xfId="2" applyFont="1" applyFill="1" applyBorder="1" applyAlignment="1">
      <alignment horizontal="center" vertical="center"/>
    </xf>
    <xf numFmtId="0" fontId="4" fillId="7" borderId="46" xfId="2" applyFont="1" applyFill="1" applyBorder="1" applyAlignment="1">
      <alignment horizontal="center" vertical="center"/>
    </xf>
    <xf numFmtId="0" fontId="4" fillId="7" borderId="47" xfId="2" applyFont="1" applyFill="1" applyBorder="1" applyAlignment="1">
      <alignment horizontal="center" vertical="center"/>
    </xf>
    <xf numFmtId="0" fontId="4" fillId="7" borderId="32" xfId="2" applyFont="1" applyFill="1" applyBorder="1" applyAlignment="1">
      <alignment horizontal="center" vertical="center"/>
    </xf>
    <xf numFmtId="0" fontId="28" fillId="0" borderId="1" xfId="2" applyFont="1" applyBorder="1" applyAlignment="1">
      <alignment horizontal="center" vertical="center"/>
    </xf>
    <xf numFmtId="0" fontId="28" fillId="0" borderId="27" xfId="2" applyFont="1" applyBorder="1" applyAlignment="1">
      <alignment horizontal="center" vertical="center"/>
    </xf>
    <xf numFmtId="0" fontId="28" fillId="0" borderId="20" xfId="2" applyFont="1" applyBorder="1" applyAlignment="1">
      <alignment horizontal="center" vertical="center"/>
    </xf>
    <xf numFmtId="0" fontId="4" fillId="3" borderId="13" xfId="2" applyFont="1" applyFill="1" applyBorder="1" applyAlignment="1">
      <alignment horizontal="center" vertical="center"/>
    </xf>
    <xf numFmtId="0" fontId="4" fillId="3" borderId="4" xfId="2" applyFont="1" applyFill="1" applyBorder="1" applyAlignment="1">
      <alignment horizontal="center" vertical="center"/>
    </xf>
    <xf numFmtId="0" fontId="28" fillId="0" borderId="45" xfId="2" applyFont="1" applyBorder="1" applyAlignment="1">
      <alignment horizontal="center" vertical="center"/>
    </xf>
    <xf numFmtId="0" fontId="28" fillId="0" borderId="60" xfId="2" applyFont="1" applyBorder="1" applyAlignment="1">
      <alignment horizontal="center" vertical="center"/>
    </xf>
    <xf numFmtId="0" fontId="4" fillId="3" borderId="64" xfId="2" applyFont="1" applyFill="1" applyBorder="1" applyAlignment="1">
      <alignment horizontal="center" vertical="center"/>
    </xf>
    <xf numFmtId="0" fontId="4" fillId="3" borderId="54" xfId="2" applyFont="1" applyFill="1" applyBorder="1" applyAlignment="1">
      <alignment horizontal="center" vertical="center"/>
    </xf>
    <xf numFmtId="0" fontId="4" fillId="7" borderId="48" xfId="2" applyFont="1" applyFill="1" applyBorder="1" applyAlignment="1">
      <alignment horizontal="center" vertical="center"/>
    </xf>
    <xf numFmtId="0" fontId="4" fillId="7" borderId="22" xfId="2" applyFont="1" applyFill="1" applyBorder="1" applyAlignment="1">
      <alignment horizontal="center" vertical="center"/>
    </xf>
    <xf numFmtId="0" fontId="28" fillId="0" borderId="64" xfId="2" applyFont="1" applyBorder="1" applyAlignment="1">
      <alignment horizontal="center" vertical="center"/>
    </xf>
    <xf numFmtId="0" fontId="28" fillId="0" borderId="54" xfId="2" applyFont="1" applyBorder="1" applyAlignment="1">
      <alignment horizontal="center" vertical="center"/>
    </xf>
    <xf numFmtId="0" fontId="28" fillId="0" borderId="50" xfId="2" applyFont="1" applyBorder="1" applyAlignment="1">
      <alignment horizontal="center" vertical="center"/>
    </xf>
    <xf numFmtId="0" fontId="28" fillId="0" borderId="6" xfId="2" applyFont="1" applyBorder="1" applyAlignment="1">
      <alignment horizontal="center" vertical="center"/>
    </xf>
    <xf numFmtId="0" fontId="4" fillId="7" borderId="13" xfId="2" applyFont="1" applyFill="1" applyBorder="1" applyAlignment="1">
      <alignment horizontal="center" vertical="center" shrinkToFit="1"/>
    </xf>
    <xf numFmtId="0" fontId="4" fillId="7" borderId="4" xfId="2" applyFont="1" applyFill="1" applyBorder="1" applyAlignment="1">
      <alignment horizontal="center" vertical="center" shrinkToFit="1"/>
    </xf>
    <xf numFmtId="0" fontId="6" fillId="10" borderId="12" xfId="2" applyFont="1" applyFill="1" applyBorder="1" applyAlignment="1">
      <alignment textRotation="90"/>
    </xf>
    <xf numFmtId="0" fontId="5" fillId="10" borderId="65" xfId="2" applyFont="1" applyFill="1" applyBorder="1" applyAlignment="1">
      <alignment horizontal="center" vertical="center" shrinkToFit="1"/>
    </xf>
    <xf numFmtId="0" fontId="19" fillId="10" borderId="61" xfId="7" applyFont="1" applyFill="1" applyBorder="1" applyAlignment="1">
      <alignment horizontal="center" vertical="center" shrinkToFit="1"/>
    </xf>
    <xf numFmtId="0" fontId="19" fillId="10" borderId="62" xfId="7" applyFont="1" applyFill="1" applyBorder="1" applyAlignment="1">
      <alignment horizontal="center" vertical="center" shrinkToFit="1"/>
    </xf>
    <xf numFmtId="0" fontId="4" fillId="10" borderId="37" xfId="0" applyFont="1" applyFill="1" applyBorder="1" applyAlignment="1">
      <alignment horizontal="center" vertical="center"/>
    </xf>
    <xf numFmtId="0" fontId="4" fillId="10" borderId="66" xfId="0" applyFont="1" applyFill="1" applyBorder="1" applyAlignment="1">
      <alignment horizontal="center" vertical="center"/>
    </xf>
    <xf numFmtId="16" fontId="4" fillId="10" borderId="48" xfId="7" applyNumberFormat="1" applyFont="1" applyFill="1" applyBorder="1" applyAlignment="1">
      <alignment horizontal="center" vertical="center"/>
    </xf>
    <xf numFmtId="16" fontId="4" fillId="10" borderId="28" xfId="7" applyNumberFormat="1" applyFont="1" applyFill="1" applyBorder="1" applyAlignment="1">
      <alignment horizontal="center" vertical="center"/>
    </xf>
    <xf numFmtId="16" fontId="4" fillId="10" borderId="53" xfId="7" applyNumberFormat="1" applyFont="1" applyFill="1" applyBorder="1" applyAlignment="1">
      <alignment horizontal="center" vertical="center"/>
    </xf>
    <xf numFmtId="16" fontId="4" fillId="10" borderId="42" xfId="7" applyNumberFormat="1" applyFont="1" applyFill="1" applyBorder="1" applyAlignment="1">
      <alignment horizontal="center" vertical="center"/>
    </xf>
    <xf numFmtId="16" fontId="4" fillId="10" borderId="44" xfId="7" applyNumberFormat="1" applyFont="1" applyFill="1" applyBorder="1" applyAlignment="1">
      <alignment horizontal="center" vertical="center"/>
    </xf>
    <xf numFmtId="16" fontId="4" fillId="10" borderId="49" xfId="7" applyNumberFormat="1" applyFont="1" applyFill="1" applyBorder="1" applyAlignment="1">
      <alignment horizontal="center" vertical="center"/>
    </xf>
    <xf numFmtId="16" fontId="4" fillId="10" borderId="29" xfId="7" applyNumberFormat="1" applyFont="1" applyFill="1" applyBorder="1" applyAlignment="1">
      <alignment horizontal="center" vertical="center"/>
    </xf>
    <xf numFmtId="0" fontId="36" fillId="3" borderId="51" xfId="0" applyFont="1" applyFill="1" applyBorder="1" applyAlignment="1">
      <alignment horizontal="center" wrapText="1"/>
    </xf>
    <xf numFmtId="0" fontId="36" fillId="3" borderId="0" xfId="0" applyFont="1" applyFill="1" applyAlignment="1">
      <alignment horizontal="center" wrapText="1"/>
    </xf>
    <xf numFmtId="3" fontId="4" fillId="3" borderId="17" xfId="0" applyNumberFormat="1" applyFont="1" applyFill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  <xf numFmtId="3" fontId="4" fillId="3" borderId="12" xfId="0" applyNumberFormat="1" applyFont="1" applyFill="1" applyBorder="1" applyAlignment="1">
      <alignment horizontal="center" vertical="center"/>
    </xf>
    <xf numFmtId="3" fontId="5" fillId="3" borderId="38" xfId="0" applyNumberFormat="1" applyFont="1" applyFill="1" applyBorder="1" applyAlignment="1">
      <alignment horizontal="right" vertical="center"/>
    </xf>
    <xf numFmtId="3" fontId="5" fillId="3" borderId="45" xfId="0" applyNumberFormat="1" applyFont="1" applyFill="1" applyBorder="1" applyAlignment="1">
      <alignment horizontal="right" vertical="center"/>
    </xf>
    <xf numFmtId="3" fontId="5" fillId="3" borderId="26" xfId="0" applyNumberFormat="1" applyFont="1" applyFill="1" applyBorder="1" applyAlignment="1">
      <alignment horizontal="right" vertical="center"/>
    </xf>
    <xf numFmtId="3" fontId="23" fillId="3" borderId="38" xfId="0" applyNumberFormat="1" applyFont="1" applyFill="1" applyBorder="1" applyAlignment="1">
      <alignment horizontal="right" vertical="center"/>
    </xf>
    <xf numFmtId="3" fontId="23" fillId="3" borderId="45" xfId="0" applyNumberFormat="1" applyFont="1" applyFill="1" applyBorder="1" applyAlignment="1">
      <alignment horizontal="right" vertical="center"/>
    </xf>
    <xf numFmtId="3" fontId="23" fillId="3" borderId="26" xfId="0" applyNumberFormat="1" applyFont="1" applyFill="1" applyBorder="1" applyAlignment="1">
      <alignment horizontal="right" vertical="center"/>
    </xf>
    <xf numFmtId="0" fontId="6" fillId="3" borderId="38" xfId="0" applyFont="1" applyFill="1" applyBorder="1" applyAlignment="1">
      <alignment horizontal="center" vertical="center" wrapText="1"/>
    </xf>
    <xf numFmtId="0" fontId="6" fillId="3" borderId="45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36" fillId="3" borderId="51" xfId="0" applyFont="1" applyFill="1" applyBorder="1" applyAlignment="1">
      <alignment horizontal="center" vertical="center" wrapText="1"/>
    </xf>
    <xf numFmtId="0" fontId="36" fillId="3" borderId="0" xfId="0" applyFont="1" applyFill="1" applyAlignment="1">
      <alignment horizontal="center" vertical="center" wrapText="1"/>
    </xf>
    <xf numFmtId="3" fontId="5" fillId="3" borderId="58" xfId="0" applyNumberFormat="1" applyFont="1" applyFill="1" applyBorder="1" applyAlignment="1">
      <alignment horizontal="center" vertical="center" wrapText="1"/>
    </xf>
    <xf numFmtId="3" fontId="5" fillId="3" borderId="59" xfId="0" applyNumberFormat="1" applyFont="1" applyFill="1" applyBorder="1" applyAlignment="1">
      <alignment horizontal="center" vertical="center" wrapText="1"/>
    </xf>
    <xf numFmtId="3" fontId="5" fillId="3" borderId="36" xfId="0" applyNumberFormat="1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4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3" fontId="5" fillId="3" borderId="38" xfId="0" applyNumberFormat="1" applyFont="1" applyFill="1" applyBorder="1" applyAlignment="1">
      <alignment horizontal="center" vertical="center" wrapText="1"/>
    </xf>
    <xf numFmtId="3" fontId="5" fillId="3" borderId="45" xfId="0" applyNumberFormat="1" applyFont="1" applyFill="1" applyBorder="1" applyAlignment="1">
      <alignment horizontal="center" vertical="center" wrapText="1"/>
    </xf>
    <xf numFmtId="3" fontId="5" fillId="3" borderId="26" xfId="0" applyNumberFormat="1" applyFont="1" applyFill="1" applyBorder="1" applyAlignment="1">
      <alignment horizontal="center" vertical="center" wrapText="1"/>
    </xf>
    <xf numFmtId="0" fontId="5" fillId="3" borderId="27" xfId="7" applyFont="1" applyFill="1" applyBorder="1" applyAlignment="1">
      <alignment horizontal="center" vertical="center" wrapText="1"/>
    </xf>
    <xf numFmtId="0" fontId="5" fillId="3" borderId="4" xfId="7" applyFont="1" applyFill="1" applyBorder="1" applyAlignment="1">
      <alignment horizontal="center" vertical="center" wrapText="1"/>
    </xf>
    <xf numFmtId="0" fontId="5" fillId="3" borderId="8" xfId="7" applyFont="1" applyFill="1" applyBorder="1" applyAlignment="1">
      <alignment horizontal="center" vertical="center" wrapText="1"/>
    </xf>
    <xf numFmtId="0" fontId="6" fillId="3" borderId="38" xfId="7" applyFont="1" applyFill="1" applyBorder="1" applyAlignment="1">
      <alignment horizontal="center" vertical="center" wrapText="1"/>
    </xf>
    <xf numFmtId="0" fontId="6" fillId="3" borderId="45" xfId="7" applyFont="1" applyFill="1" applyBorder="1" applyAlignment="1">
      <alignment horizontal="center" vertical="center" wrapText="1"/>
    </xf>
    <xf numFmtId="0" fontId="6" fillId="3" borderId="26" xfId="7" applyFont="1" applyFill="1" applyBorder="1" applyAlignment="1">
      <alignment horizontal="center" vertical="center" wrapText="1"/>
    </xf>
    <xf numFmtId="0" fontId="5" fillId="3" borderId="25" xfId="7" applyFont="1" applyFill="1" applyBorder="1" applyAlignment="1">
      <alignment horizontal="center" vertical="center" wrapText="1"/>
    </xf>
    <xf numFmtId="0" fontId="6" fillId="3" borderId="27" xfId="7" applyFont="1" applyFill="1" applyBorder="1" applyAlignment="1">
      <alignment horizontal="center" vertical="center" wrapText="1"/>
    </xf>
    <xf numFmtId="0" fontId="6" fillId="3" borderId="4" xfId="7" applyFont="1" applyFill="1" applyBorder="1" applyAlignment="1">
      <alignment horizontal="center" vertical="center" wrapText="1"/>
    </xf>
    <xf numFmtId="0" fontId="6" fillId="3" borderId="8" xfId="7" applyFont="1" applyFill="1" applyBorder="1" applyAlignment="1">
      <alignment horizontal="center" vertical="center" wrapText="1"/>
    </xf>
    <xf numFmtId="3" fontId="23" fillId="3" borderId="15" xfId="0" applyNumberFormat="1" applyFont="1" applyFill="1" applyBorder="1" applyAlignment="1">
      <alignment horizontal="right" vertical="center"/>
    </xf>
    <xf numFmtId="3" fontId="4" fillId="3" borderId="3" xfId="0" applyNumberFormat="1" applyFont="1" applyFill="1" applyBorder="1" applyAlignment="1">
      <alignment horizontal="center" vertical="center"/>
    </xf>
    <xf numFmtId="0" fontId="36" fillId="0" borderId="0" xfId="2" applyFont="1" applyAlignment="1">
      <alignment horizontal="center"/>
    </xf>
    <xf numFmtId="0" fontId="4" fillId="0" borderId="56" xfId="2" applyFont="1" applyBorder="1" applyAlignment="1">
      <alignment horizontal="right"/>
    </xf>
    <xf numFmtId="0" fontId="34" fillId="0" borderId="0" xfId="2" applyFont="1" applyAlignment="1">
      <alignment horizontal="center"/>
    </xf>
    <xf numFmtId="0" fontId="4" fillId="10" borderId="35" xfId="2" applyFont="1" applyFill="1" applyBorder="1" applyAlignment="1">
      <alignment horizontal="center" vertical="center" wrapText="1"/>
    </xf>
    <xf numFmtId="0" fontId="4" fillId="10" borderId="47" xfId="2" applyFont="1" applyFill="1" applyBorder="1" applyAlignment="1">
      <alignment horizontal="center" vertical="center" wrapText="1"/>
    </xf>
    <xf numFmtId="0" fontId="4" fillId="10" borderId="32" xfId="2" applyFont="1" applyFill="1" applyBorder="1" applyAlignment="1">
      <alignment horizontal="center" vertical="center" wrapText="1"/>
    </xf>
    <xf numFmtId="0" fontId="30" fillId="6" borderId="46" xfId="0" applyFont="1" applyFill="1" applyBorder="1" applyAlignment="1">
      <alignment horizontal="center" vertical="center" wrapText="1"/>
    </xf>
    <xf numFmtId="0" fontId="30" fillId="6" borderId="57" xfId="0" applyFont="1" applyFill="1" applyBorder="1" applyAlignment="1">
      <alignment horizontal="center" vertical="center" wrapText="1"/>
    </xf>
    <xf numFmtId="0" fontId="30" fillId="6" borderId="47" xfId="0" applyFont="1" applyFill="1" applyBorder="1" applyAlignment="1">
      <alignment horizontal="center" vertical="center" wrapText="1"/>
    </xf>
    <xf numFmtId="0" fontId="30" fillId="6" borderId="32" xfId="0" applyFont="1" applyFill="1" applyBorder="1" applyAlignment="1">
      <alignment horizontal="center" vertical="center" wrapText="1"/>
    </xf>
    <xf numFmtId="0" fontId="7" fillId="10" borderId="25" xfId="0" applyFont="1" applyFill="1" applyBorder="1" applyAlignment="1">
      <alignment horizontal="center" vertical="center" wrapText="1"/>
    </xf>
    <xf numFmtId="0" fontId="7" fillId="10" borderId="8" xfId="0" applyFont="1" applyFill="1" applyBorder="1" applyAlignment="1">
      <alignment horizontal="center" vertical="center" wrapText="1"/>
    </xf>
    <xf numFmtId="0" fontId="4" fillId="10" borderId="30" xfId="0" applyFont="1" applyFill="1" applyBorder="1" applyAlignment="1">
      <alignment horizontal="center" vertical="center" wrapText="1"/>
    </xf>
    <xf numFmtId="0" fontId="4" fillId="10" borderId="14" xfId="0" applyFont="1" applyFill="1" applyBorder="1" applyAlignment="1">
      <alignment horizontal="center" vertical="center" wrapText="1"/>
    </xf>
    <xf numFmtId="0" fontId="4" fillId="10" borderId="35" xfId="0" applyFont="1" applyFill="1" applyBorder="1" applyAlignment="1">
      <alignment horizontal="center" vertical="center"/>
    </xf>
    <xf numFmtId="0" fontId="4" fillId="10" borderId="31" xfId="0" applyFont="1" applyFill="1" applyBorder="1" applyAlignment="1">
      <alignment horizontal="center" vertical="center"/>
    </xf>
    <xf numFmtId="3" fontId="5" fillId="3" borderId="15" xfId="0" applyNumberFormat="1" applyFont="1" applyFill="1" applyBorder="1" applyAlignment="1">
      <alignment horizontal="center" vertical="center" wrapText="1"/>
    </xf>
    <xf numFmtId="3" fontId="4" fillId="3" borderId="0" xfId="0" applyNumberFormat="1" applyFont="1" applyFill="1" applyAlignment="1">
      <alignment horizontal="center"/>
    </xf>
    <xf numFmtId="0" fontId="5" fillId="0" borderId="38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3" fontId="24" fillId="8" borderId="38" xfId="0" applyNumberFormat="1" applyFont="1" applyFill="1" applyBorder="1" applyAlignment="1">
      <alignment horizontal="right" vertical="center"/>
    </xf>
    <xf numFmtId="3" fontId="24" fillId="8" borderId="45" xfId="0" applyNumberFormat="1" applyFont="1" applyFill="1" applyBorder="1" applyAlignment="1">
      <alignment horizontal="right" vertical="center"/>
    </xf>
    <xf numFmtId="3" fontId="24" fillId="8" borderId="26" xfId="0" applyNumberFormat="1" applyFont="1" applyFill="1" applyBorder="1" applyAlignment="1">
      <alignment horizontal="right" vertical="center"/>
    </xf>
    <xf numFmtId="3" fontId="4" fillId="8" borderId="37" xfId="0" applyNumberFormat="1" applyFont="1" applyFill="1" applyBorder="1" applyAlignment="1">
      <alignment horizontal="center" vertical="center" wrapText="1"/>
    </xf>
    <xf numFmtId="3" fontId="4" fillId="8" borderId="58" xfId="0" applyNumberFormat="1" applyFont="1" applyFill="1" applyBorder="1" applyAlignment="1">
      <alignment horizontal="center" vertical="center" wrapText="1"/>
    </xf>
    <xf numFmtId="3" fontId="4" fillId="8" borderId="51" xfId="0" applyNumberFormat="1" applyFont="1" applyFill="1" applyBorder="1" applyAlignment="1">
      <alignment horizontal="center" vertical="center" wrapText="1"/>
    </xf>
    <xf numFmtId="3" fontId="4" fillId="8" borderId="59" xfId="0" applyNumberFormat="1" applyFont="1" applyFill="1" applyBorder="1" applyAlignment="1">
      <alignment horizontal="center" vertical="center" wrapText="1"/>
    </xf>
    <xf numFmtId="3" fontId="4" fillId="8" borderId="55" xfId="0" applyNumberFormat="1" applyFont="1" applyFill="1" applyBorder="1" applyAlignment="1">
      <alignment horizontal="center" vertical="center" wrapText="1"/>
    </xf>
    <xf numFmtId="3" fontId="4" fillId="8" borderId="36" xfId="0" applyNumberFormat="1" applyFont="1" applyFill="1" applyBorder="1" applyAlignment="1">
      <alignment horizontal="center" vertical="center" wrapText="1"/>
    </xf>
    <xf numFmtId="0" fontId="30" fillId="9" borderId="37" xfId="0" applyFont="1" applyFill="1" applyBorder="1" applyAlignment="1">
      <alignment horizontal="center" vertical="center" wrapText="1"/>
    </xf>
    <xf numFmtId="0" fontId="30" fillId="9" borderId="57" xfId="0" applyFont="1" applyFill="1" applyBorder="1" applyAlignment="1">
      <alignment horizontal="center" vertical="center" wrapText="1"/>
    </xf>
    <xf numFmtId="0" fontId="30" fillId="9" borderId="66" xfId="0" applyFont="1" applyFill="1" applyBorder="1" applyAlignment="1">
      <alignment horizontal="center" vertical="center" wrapText="1"/>
    </xf>
    <xf numFmtId="3" fontId="4" fillId="10" borderId="37" xfId="0" applyNumberFormat="1" applyFont="1" applyFill="1" applyBorder="1" applyAlignment="1">
      <alignment horizontal="center" vertical="center" wrapText="1"/>
    </xf>
    <xf numFmtId="3" fontId="4" fillId="10" borderId="58" xfId="0" applyNumberFormat="1" applyFont="1" applyFill="1" applyBorder="1" applyAlignment="1">
      <alignment horizontal="center" vertical="center" wrapText="1"/>
    </xf>
    <xf numFmtId="3" fontId="4" fillId="10" borderId="51" xfId="0" applyNumberFormat="1" applyFont="1" applyFill="1" applyBorder="1" applyAlignment="1">
      <alignment horizontal="center" vertical="center" wrapText="1"/>
    </xf>
    <xf numFmtId="3" fontId="4" fillId="10" borderId="59" xfId="0" applyNumberFormat="1" applyFont="1" applyFill="1" applyBorder="1" applyAlignment="1">
      <alignment horizontal="center" vertical="center" wrapText="1"/>
    </xf>
    <xf numFmtId="3" fontId="4" fillId="10" borderId="55" xfId="0" applyNumberFormat="1" applyFont="1" applyFill="1" applyBorder="1" applyAlignment="1">
      <alignment horizontal="center" vertical="center" wrapText="1"/>
    </xf>
    <xf numFmtId="3" fontId="4" fillId="10" borderId="36" xfId="0" applyNumberFormat="1" applyFont="1" applyFill="1" applyBorder="1" applyAlignment="1">
      <alignment horizontal="center" vertical="center" wrapText="1"/>
    </xf>
    <xf numFmtId="3" fontId="24" fillId="10" borderId="38" xfId="0" applyNumberFormat="1" applyFont="1" applyFill="1" applyBorder="1" applyAlignment="1">
      <alignment horizontal="right" vertical="center"/>
    </xf>
    <xf numFmtId="3" fontId="24" fillId="10" borderId="45" xfId="0" applyNumberFormat="1" applyFont="1" applyFill="1" applyBorder="1" applyAlignment="1">
      <alignment horizontal="right" vertical="center"/>
    </xf>
    <xf numFmtId="3" fontId="24" fillId="10" borderId="26" xfId="0" applyNumberFormat="1" applyFont="1" applyFill="1" applyBorder="1" applyAlignment="1">
      <alignment horizontal="right" vertical="center"/>
    </xf>
    <xf numFmtId="3" fontId="4" fillId="9" borderId="37" xfId="0" applyNumberFormat="1" applyFont="1" applyFill="1" applyBorder="1" applyAlignment="1">
      <alignment horizontal="center" vertical="center" wrapText="1"/>
    </xf>
    <xf numFmtId="3" fontId="4" fillId="9" borderId="58" xfId="0" applyNumberFormat="1" applyFont="1" applyFill="1" applyBorder="1" applyAlignment="1">
      <alignment horizontal="center" vertical="center" wrapText="1"/>
    </xf>
    <xf numFmtId="3" fontId="4" fillId="9" borderId="51" xfId="0" applyNumberFormat="1" applyFont="1" applyFill="1" applyBorder="1" applyAlignment="1">
      <alignment horizontal="center" vertical="center" wrapText="1"/>
    </xf>
    <xf numFmtId="3" fontId="4" fillId="9" borderId="59" xfId="0" applyNumberFormat="1" applyFont="1" applyFill="1" applyBorder="1" applyAlignment="1">
      <alignment horizontal="center" vertical="center" wrapText="1"/>
    </xf>
    <xf numFmtId="3" fontId="4" fillId="9" borderId="55" xfId="0" applyNumberFormat="1" applyFont="1" applyFill="1" applyBorder="1" applyAlignment="1">
      <alignment horizontal="center" vertical="center" wrapText="1"/>
    </xf>
    <xf numFmtId="3" fontId="4" fillId="9" borderId="36" xfId="0" applyNumberFormat="1" applyFont="1" applyFill="1" applyBorder="1" applyAlignment="1">
      <alignment horizontal="center" vertical="center" wrapText="1"/>
    </xf>
    <xf numFmtId="3" fontId="24" fillId="9" borderId="38" xfId="0" applyNumberFormat="1" applyFont="1" applyFill="1" applyBorder="1" applyAlignment="1">
      <alignment horizontal="right" vertical="center"/>
    </xf>
    <xf numFmtId="3" fontId="24" fillId="9" borderId="45" xfId="0" applyNumberFormat="1" applyFont="1" applyFill="1" applyBorder="1" applyAlignment="1">
      <alignment horizontal="right" vertical="center"/>
    </xf>
    <xf numFmtId="3" fontId="24" fillId="9" borderId="26" xfId="0" applyNumberFormat="1" applyFont="1" applyFill="1" applyBorder="1" applyAlignment="1">
      <alignment horizontal="right" vertical="center"/>
    </xf>
    <xf numFmtId="3" fontId="4" fillId="0" borderId="30" xfId="0" applyNumberFormat="1" applyFont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3" fontId="5" fillId="0" borderId="25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3" fontId="23" fillId="0" borderId="25" xfId="0" applyNumberFormat="1" applyFont="1" applyBorder="1" applyAlignment="1">
      <alignment horizontal="right" vertical="center"/>
    </xf>
    <xf numFmtId="3" fontId="23" fillId="0" borderId="4" xfId="0" applyNumberFormat="1" applyFont="1" applyBorder="1" applyAlignment="1">
      <alignment horizontal="right" vertical="center"/>
    </xf>
    <xf numFmtId="3" fontId="23" fillId="0" borderId="8" xfId="0" applyNumberFormat="1" applyFont="1" applyBorder="1" applyAlignment="1">
      <alignment horizontal="right" vertical="center"/>
    </xf>
  </cellXfs>
  <cellStyles count="8">
    <cellStyle name="Normál" xfId="0" builtinId="0"/>
    <cellStyle name="Normál 2" xfId="1" xr:uid="{00000000-0005-0000-0000-000001000000}"/>
    <cellStyle name="Normál 2 2" xfId="2" xr:uid="{00000000-0005-0000-0000-000002000000}"/>
    <cellStyle name="Normál 2 3" xfId="3" xr:uid="{00000000-0005-0000-0000-000003000000}"/>
    <cellStyle name="Normál 2 3 2" xfId="4" xr:uid="{00000000-0005-0000-0000-000004000000}"/>
    <cellStyle name="Normál 2 3_-1" xfId="5" xr:uid="{00000000-0005-0000-0000-000005000000}"/>
    <cellStyle name="Normál 3" xfId="6" xr:uid="{00000000-0005-0000-0000-000006000000}"/>
    <cellStyle name="Normál_09eloi" xfId="7" xr:uid="{00000000-0005-0000-0000-000007000000}"/>
  </cellStyles>
  <dxfs count="0"/>
  <tableStyles count="0" defaultTableStyle="TableStyleMedium9" defaultPivotStyle="PivotStyleLight16"/>
  <colors>
    <mruColors>
      <color rgb="FF00FF99"/>
      <color rgb="FFF9B2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59999389629810485"/>
  </sheetPr>
  <dimension ref="A1:R72"/>
  <sheetViews>
    <sheetView zoomScaleNormal="100" workbookViewId="0">
      <selection activeCell="U14" sqref="U14"/>
    </sheetView>
  </sheetViews>
  <sheetFormatPr defaultRowHeight="12.75" x14ac:dyDescent="0.2"/>
  <cols>
    <col min="1" max="1" width="5.5703125" style="15" customWidth="1"/>
    <col min="2" max="2" width="4.28515625" style="15" customWidth="1"/>
    <col min="3" max="3" width="3.7109375" style="3" customWidth="1"/>
    <col min="4" max="4" width="37.7109375" style="3" customWidth="1"/>
    <col min="5" max="5" width="14.42578125" style="5" customWidth="1"/>
    <col min="6" max="6" width="14.7109375" style="5" customWidth="1"/>
    <col min="7" max="7" width="14.140625" style="5" customWidth="1"/>
    <col min="8" max="8" width="7.7109375" style="5" customWidth="1"/>
    <col min="9" max="9" width="6.5703125" style="11" customWidth="1"/>
    <col min="10" max="10" width="4.28515625" style="11" customWidth="1"/>
    <col min="11" max="11" width="3.7109375" style="11" customWidth="1"/>
    <col min="12" max="12" width="37.7109375" style="3" customWidth="1"/>
    <col min="13" max="13" width="12.7109375" style="5" customWidth="1"/>
    <col min="14" max="15" width="14.42578125" style="5" customWidth="1"/>
    <col min="16" max="16" width="7.7109375" style="5" customWidth="1"/>
    <col min="17" max="17" width="9.140625" style="3"/>
    <col min="18" max="18" width="10.85546875" style="3" bestFit="1" customWidth="1"/>
    <col min="19" max="16384" width="9.140625" style="3"/>
  </cols>
  <sheetData>
    <row r="1" spans="1:17" ht="14.25" x14ac:dyDescent="0.2">
      <c r="L1" s="458" t="s">
        <v>320</v>
      </c>
      <c r="M1" s="458"/>
      <c r="N1" s="458"/>
      <c r="O1" s="458"/>
      <c r="P1" s="458"/>
    </row>
    <row r="2" spans="1:17" ht="14.25" x14ac:dyDescent="0.2">
      <c r="L2" s="458"/>
      <c r="M2" s="458"/>
      <c r="N2" s="458"/>
      <c r="O2" s="458"/>
      <c r="P2" s="458"/>
    </row>
    <row r="3" spans="1:17" ht="15.95" customHeight="1" x14ac:dyDescent="0.25">
      <c r="A3" s="470" t="s">
        <v>357</v>
      </c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470"/>
      <c r="Q3" s="3" t="s">
        <v>33</v>
      </c>
    </row>
    <row r="4" spans="1:17" ht="15.95" customHeight="1" x14ac:dyDescent="0.25">
      <c r="A4" s="470" t="s">
        <v>30</v>
      </c>
      <c r="B4" s="470"/>
      <c r="C4" s="470"/>
      <c r="D4" s="470"/>
      <c r="E4" s="470"/>
      <c r="F4" s="470"/>
      <c r="G4" s="470"/>
      <c r="H4" s="470"/>
      <c r="I4" s="470"/>
      <c r="J4" s="470"/>
      <c r="K4" s="470"/>
      <c r="L4" s="470"/>
      <c r="M4" s="470"/>
      <c r="N4" s="470"/>
      <c r="O4" s="470"/>
      <c r="P4" s="470"/>
    </row>
    <row r="5" spans="1:17" ht="15.95" customHeight="1" x14ac:dyDescent="0.25">
      <c r="A5" s="470" t="s">
        <v>44</v>
      </c>
      <c r="B5" s="470"/>
      <c r="C5" s="470"/>
      <c r="D5" s="470"/>
      <c r="E5" s="470"/>
      <c r="F5" s="470"/>
      <c r="G5" s="470"/>
      <c r="H5" s="470"/>
      <c r="I5" s="470"/>
      <c r="J5" s="470"/>
      <c r="K5" s="470"/>
      <c r="L5" s="470"/>
      <c r="M5" s="470"/>
      <c r="N5" s="470"/>
      <c r="O5" s="470"/>
      <c r="P5" s="470"/>
    </row>
    <row r="6" spans="1:17" ht="15.95" customHeight="1" x14ac:dyDescent="0.25">
      <c r="A6" s="470" t="s">
        <v>287</v>
      </c>
      <c r="B6" s="470"/>
      <c r="C6" s="470"/>
      <c r="D6" s="470"/>
      <c r="E6" s="470"/>
      <c r="F6" s="470"/>
      <c r="G6" s="470"/>
      <c r="H6" s="470"/>
      <c r="I6" s="470"/>
      <c r="J6" s="470"/>
      <c r="K6" s="470"/>
      <c r="L6" s="470"/>
      <c r="M6" s="470"/>
      <c r="N6" s="470"/>
      <c r="O6" s="470"/>
      <c r="P6" s="470"/>
    </row>
    <row r="7" spans="1:17" ht="15.95" customHeight="1" x14ac:dyDescent="0.25">
      <c r="A7" s="470"/>
      <c r="B7" s="470"/>
      <c r="C7" s="470"/>
      <c r="D7" s="470"/>
      <c r="E7" s="470"/>
      <c r="F7" s="470"/>
      <c r="G7" s="470"/>
      <c r="H7" s="470"/>
      <c r="I7" s="470"/>
      <c r="J7" s="470"/>
      <c r="K7" s="470"/>
      <c r="L7" s="470"/>
      <c r="M7" s="470"/>
      <c r="N7" s="470"/>
      <c r="O7" s="470"/>
      <c r="P7" s="470"/>
    </row>
    <row r="8" spans="1:17" ht="15.95" customHeight="1" thickBot="1" x14ac:dyDescent="0.35">
      <c r="D8" s="533"/>
      <c r="E8" s="533"/>
      <c r="F8" s="533"/>
      <c r="G8" s="533"/>
      <c r="H8" s="533"/>
      <c r="I8" s="533"/>
      <c r="J8" s="533"/>
      <c r="K8" s="533"/>
      <c r="L8" s="533"/>
      <c r="O8" s="3"/>
      <c r="P8" s="208" t="s">
        <v>252</v>
      </c>
    </row>
    <row r="9" spans="1:17" s="6" customFormat="1" ht="21.95" customHeight="1" x14ac:dyDescent="0.2">
      <c r="A9" s="530" t="s">
        <v>42</v>
      </c>
      <c r="B9" s="531"/>
      <c r="C9" s="531"/>
      <c r="D9" s="531"/>
      <c r="E9" s="531"/>
      <c r="F9" s="531"/>
      <c r="G9" s="531"/>
      <c r="H9" s="532"/>
      <c r="I9" s="530" t="s">
        <v>43</v>
      </c>
      <c r="J9" s="531"/>
      <c r="K9" s="531"/>
      <c r="L9" s="531"/>
      <c r="M9" s="531"/>
      <c r="N9" s="531"/>
      <c r="O9" s="531"/>
      <c r="P9" s="532"/>
    </row>
    <row r="10" spans="1:17" s="6" customFormat="1" ht="59.25" customHeight="1" thickBot="1" x14ac:dyDescent="0.25">
      <c r="A10" s="350" t="s">
        <v>83</v>
      </c>
      <c r="B10" s="351" t="s">
        <v>84</v>
      </c>
      <c r="C10" s="522"/>
      <c r="D10" s="523"/>
      <c r="E10" s="349" t="s">
        <v>251</v>
      </c>
      <c r="F10" s="352" t="s">
        <v>289</v>
      </c>
      <c r="G10" s="349" t="s">
        <v>290</v>
      </c>
      <c r="H10" s="372" t="s">
        <v>257</v>
      </c>
      <c r="I10" s="350" t="s">
        <v>83</v>
      </c>
      <c r="J10" s="351" t="s">
        <v>84</v>
      </c>
      <c r="K10" s="524"/>
      <c r="L10" s="525"/>
      <c r="M10" s="349" t="s">
        <v>251</v>
      </c>
      <c r="N10" s="352" t="s">
        <v>289</v>
      </c>
      <c r="O10" s="349" t="s">
        <v>290</v>
      </c>
      <c r="P10" s="353" t="s">
        <v>257</v>
      </c>
    </row>
    <row r="11" spans="1:17" s="1" customFormat="1" ht="18" customHeight="1" x14ac:dyDescent="0.2">
      <c r="A11" s="527" t="s">
        <v>41</v>
      </c>
      <c r="B11" s="528"/>
      <c r="C11" s="528"/>
      <c r="D11" s="528"/>
      <c r="E11" s="528"/>
      <c r="F11" s="528"/>
      <c r="G11" s="528"/>
      <c r="H11" s="528"/>
      <c r="I11" s="528"/>
      <c r="J11" s="528"/>
      <c r="K11" s="528"/>
      <c r="L11" s="528"/>
      <c r="M11" s="528"/>
      <c r="N11" s="528"/>
      <c r="O11" s="528"/>
      <c r="P11" s="529"/>
    </row>
    <row r="12" spans="1:17" s="2" customFormat="1" ht="18" customHeight="1" x14ac:dyDescent="0.2">
      <c r="A12" s="37" t="s">
        <v>0</v>
      </c>
      <c r="B12" s="464" t="s">
        <v>40</v>
      </c>
      <c r="C12" s="465"/>
      <c r="D12" s="466"/>
      <c r="E12" s="247">
        <f>+E13+E17+E21+E25</f>
        <v>474902313</v>
      </c>
      <c r="F12" s="247">
        <f>+F13+F17+F21+F25</f>
        <v>1215508312</v>
      </c>
      <c r="G12" s="244">
        <f>+G13+G17+G21+G25</f>
        <v>1095723268</v>
      </c>
      <c r="H12" s="185">
        <f>+G12/F12*100</f>
        <v>90.145271503499188</v>
      </c>
      <c r="I12" s="38" t="s">
        <v>0</v>
      </c>
      <c r="J12" s="498" t="s">
        <v>20</v>
      </c>
      <c r="K12" s="499"/>
      <c r="L12" s="500"/>
      <c r="M12" s="251">
        <f>+M13+M17+M21+M29</f>
        <v>573535408</v>
      </c>
      <c r="N12" s="251">
        <f>+N13+N17+N21+N29</f>
        <v>1747189863</v>
      </c>
      <c r="O12" s="244">
        <f>+O13+O17+O21+O29</f>
        <v>1007203197</v>
      </c>
      <c r="P12" s="165">
        <f>+O12/N12*100</f>
        <v>57.647037584718404</v>
      </c>
    </row>
    <row r="13" spans="1:17" s="1" customFormat="1" ht="18" customHeight="1" x14ac:dyDescent="0.2">
      <c r="A13" s="17"/>
      <c r="B13" s="459" t="s">
        <v>54</v>
      </c>
      <c r="C13" s="473" t="s">
        <v>260</v>
      </c>
      <c r="D13" s="474"/>
      <c r="E13" s="186">
        <f>+E14+E15+E16</f>
        <v>386165794</v>
      </c>
      <c r="F13" s="186">
        <f>+F14+F15+F16</f>
        <v>1098579528</v>
      </c>
      <c r="G13" s="166">
        <f>+G14+G15+G16</f>
        <v>987695801</v>
      </c>
      <c r="H13" s="185">
        <f t="shared" ref="H13:H26" si="0">+G13/F13*100</f>
        <v>89.906627224169426</v>
      </c>
      <c r="I13" s="13"/>
      <c r="J13" s="467" t="s">
        <v>49</v>
      </c>
      <c r="K13" s="475" t="s">
        <v>16</v>
      </c>
      <c r="L13" s="475"/>
      <c r="M13" s="166">
        <f>+M14+M15+M16</f>
        <v>333290654</v>
      </c>
      <c r="N13" s="166">
        <f>+N14+N15+N16</f>
        <v>603955039</v>
      </c>
      <c r="O13" s="166">
        <f>+O14+O15+O16</f>
        <v>464389859</v>
      </c>
      <c r="P13" s="165">
        <f>+O13/N13*100</f>
        <v>76.891461948709733</v>
      </c>
    </row>
    <row r="14" spans="1:17" s="1" customFormat="1" ht="18" customHeight="1" x14ac:dyDescent="0.2">
      <c r="A14" s="17"/>
      <c r="B14" s="460"/>
      <c r="C14" s="19" t="s">
        <v>1</v>
      </c>
      <c r="D14" s="20" t="s">
        <v>10</v>
      </c>
      <c r="E14" s="248">
        <f>+'2.'!E14+'3.'!E14</f>
        <v>386165794</v>
      </c>
      <c r="F14" s="248">
        <f>+'2.'!F14+'3.'!F14</f>
        <v>1098579528</v>
      </c>
      <c r="G14" s="249">
        <f>+'2.'!G14+'3.'!G14</f>
        <v>987695801</v>
      </c>
      <c r="H14" s="188">
        <f t="shared" si="0"/>
        <v>89.906627224169426</v>
      </c>
      <c r="I14" s="13"/>
      <c r="J14" s="468"/>
      <c r="K14" s="19" t="s">
        <v>1</v>
      </c>
      <c r="L14" s="20" t="s">
        <v>10</v>
      </c>
      <c r="M14" s="249">
        <f>+'2.'!M14+'3.'!M14</f>
        <v>329731588</v>
      </c>
      <c r="N14" s="249">
        <f>+'2.'!N14+'3.'!N14</f>
        <v>601165133</v>
      </c>
      <c r="O14" s="249">
        <f>+'2.'!O14+'3.'!O14</f>
        <v>463614769</v>
      </c>
      <c r="P14" s="170">
        <f t="shared" ref="P14:P37" si="1">+O14/N14*100</f>
        <v>77.119370959925575</v>
      </c>
    </row>
    <row r="15" spans="1:17" s="1" customFormat="1" ht="18" customHeight="1" x14ac:dyDescent="0.2">
      <c r="A15" s="17"/>
      <c r="B15" s="460"/>
      <c r="C15" s="19" t="s">
        <v>2</v>
      </c>
      <c r="D15" s="20" t="s">
        <v>12</v>
      </c>
      <c r="E15" s="248">
        <f>+'2.'!E15+'3.'!E15</f>
        <v>0</v>
      </c>
      <c r="F15" s="248">
        <f>+'2.'!F15+'3.'!F15</f>
        <v>0</v>
      </c>
      <c r="G15" s="249">
        <f>+'2.'!G15+'3.'!G15</f>
        <v>0</v>
      </c>
      <c r="H15" s="188">
        <v>0</v>
      </c>
      <c r="I15" s="13"/>
      <c r="J15" s="468"/>
      <c r="K15" s="19" t="s">
        <v>2</v>
      </c>
      <c r="L15" s="20" t="s">
        <v>12</v>
      </c>
      <c r="M15" s="249">
        <f>+'2.'!M15+'3.'!M15</f>
        <v>3559066</v>
      </c>
      <c r="N15" s="249">
        <f>+'2.'!N15+'3.'!N15</f>
        <v>2789906</v>
      </c>
      <c r="O15" s="249">
        <f>+'2.'!O15+'3.'!O15</f>
        <v>775090</v>
      </c>
      <c r="P15" s="170">
        <f t="shared" si="1"/>
        <v>27.781939606567391</v>
      </c>
    </row>
    <row r="16" spans="1:17" s="1" customFormat="1" ht="18" customHeight="1" x14ac:dyDescent="0.2">
      <c r="A16" s="17"/>
      <c r="B16" s="461"/>
      <c r="C16" s="19" t="s">
        <v>4</v>
      </c>
      <c r="D16" s="20" t="s">
        <v>11</v>
      </c>
      <c r="E16" s="248">
        <f>+'2.'!E16+'3.'!E16</f>
        <v>0</v>
      </c>
      <c r="F16" s="248">
        <f>+'2.'!F16+'3.'!F16</f>
        <v>0</v>
      </c>
      <c r="G16" s="249">
        <f>+'2.'!G16+'3.'!G16</f>
        <v>0</v>
      </c>
      <c r="H16" s="188">
        <v>0</v>
      </c>
      <c r="I16" s="13"/>
      <c r="J16" s="469"/>
      <c r="K16" s="19" t="s">
        <v>4</v>
      </c>
      <c r="L16" s="20" t="s">
        <v>11</v>
      </c>
      <c r="M16" s="249">
        <f>+'2.'!M16+'3.'!M16</f>
        <v>0</v>
      </c>
      <c r="N16" s="249">
        <f>+'2.'!N16+'3.'!N16</f>
        <v>0</v>
      </c>
      <c r="O16" s="249">
        <f>+'2.'!O16+'3.'!O16</f>
        <v>0</v>
      </c>
      <c r="P16" s="170">
        <v>0</v>
      </c>
    </row>
    <row r="17" spans="1:16" s="1" customFormat="1" ht="20.25" customHeight="1" x14ac:dyDescent="0.2">
      <c r="A17" s="17"/>
      <c r="B17" s="459" t="s">
        <v>67</v>
      </c>
      <c r="C17" s="471" t="s">
        <v>6</v>
      </c>
      <c r="D17" s="472"/>
      <c r="E17" s="186">
        <f>+E18+E19+E20</f>
        <v>51000</v>
      </c>
      <c r="F17" s="186">
        <f>+F18+F19+F20</f>
        <v>135000</v>
      </c>
      <c r="G17" s="166">
        <f>+G18+G19+G20</f>
        <v>135000</v>
      </c>
      <c r="H17" s="185">
        <f t="shared" si="0"/>
        <v>100</v>
      </c>
      <c r="I17" s="13"/>
      <c r="J17" s="467" t="s">
        <v>50</v>
      </c>
      <c r="K17" s="526" t="s">
        <v>19</v>
      </c>
      <c r="L17" s="526"/>
      <c r="M17" s="166">
        <f>+M18+M19+M20</f>
        <v>48824640</v>
      </c>
      <c r="N17" s="166">
        <f>+N18+N19+N20</f>
        <v>83416620</v>
      </c>
      <c r="O17" s="166">
        <f>+O18+O19+O20</f>
        <v>54645270</v>
      </c>
      <c r="P17" s="165">
        <f t="shared" si="1"/>
        <v>65.508851833123899</v>
      </c>
    </row>
    <row r="18" spans="1:16" s="1" customFormat="1" ht="18" customHeight="1" x14ac:dyDescent="0.2">
      <c r="A18" s="17"/>
      <c r="B18" s="460"/>
      <c r="C18" s="19" t="s">
        <v>1</v>
      </c>
      <c r="D18" s="20" t="s">
        <v>10</v>
      </c>
      <c r="E18" s="248">
        <f>+'2.'!E18+'3.'!E18</f>
        <v>0</v>
      </c>
      <c r="F18" s="248">
        <f>+'2.'!F18+'3.'!F18</f>
        <v>0</v>
      </c>
      <c r="G18" s="249">
        <f>+'2.'!G18+'3.'!G18</f>
        <v>0</v>
      </c>
      <c r="H18" s="188">
        <v>0</v>
      </c>
      <c r="I18" s="13"/>
      <c r="J18" s="468"/>
      <c r="K18" s="19" t="s">
        <v>1</v>
      </c>
      <c r="L18" s="20" t="s">
        <v>10</v>
      </c>
      <c r="M18" s="249">
        <f>+'2.'!M18+'3.'!M18</f>
        <v>48371385</v>
      </c>
      <c r="N18" s="249">
        <f>+'2.'!N18+'3.'!N18</f>
        <v>82303609</v>
      </c>
      <c r="O18" s="249">
        <f>+'2.'!O18+'3.'!O18</f>
        <v>54488031</v>
      </c>
      <c r="P18" s="170">
        <f t="shared" si="1"/>
        <v>66.203695879241451</v>
      </c>
    </row>
    <row r="19" spans="1:16" s="1" customFormat="1" ht="18" customHeight="1" x14ac:dyDescent="0.2">
      <c r="A19" s="17"/>
      <c r="B19" s="460"/>
      <c r="C19" s="19" t="s">
        <v>2</v>
      </c>
      <c r="D19" s="20" t="s">
        <v>12</v>
      </c>
      <c r="E19" s="248">
        <f>+'2.'!E19+'3.'!E19</f>
        <v>0</v>
      </c>
      <c r="F19" s="248">
        <f>+'2.'!F19+'3.'!F19</f>
        <v>0</v>
      </c>
      <c r="G19" s="249">
        <f>+'2.'!G19+'3.'!G19</f>
        <v>0</v>
      </c>
      <c r="H19" s="188">
        <v>0</v>
      </c>
      <c r="I19" s="13"/>
      <c r="J19" s="468"/>
      <c r="K19" s="19" t="s">
        <v>2</v>
      </c>
      <c r="L19" s="20" t="s">
        <v>12</v>
      </c>
      <c r="M19" s="249">
        <f>+'2.'!M19+'3.'!M19</f>
        <v>453255</v>
      </c>
      <c r="N19" s="249">
        <f>+'2.'!N19+'3.'!N19</f>
        <v>1113011</v>
      </c>
      <c r="O19" s="249">
        <f>+'2.'!O19+'3.'!O19</f>
        <v>157239</v>
      </c>
      <c r="P19" s="170">
        <f t="shared" si="1"/>
        <v>14.127353638014359</v>
      </c>
    </row>
    <row r="20" spans="1:16" s="1" customFormat="1" ht="18" customHeight="1" x14ac:dyDescent="0.2">
      <c r="A20" s="17"/>
      <c r="B20" s="461"/>
      <c r="C20" s="19" t="s">
        <v>4</v>
      </c>
      <c r="D20" s="20" t="s">
        <v>11</v>
      </c>
      <c r="E20" s="248">
        <f>+'2.'!E20+'3.'!E20</f>
        <v>51000</v>
      </c>
      <c r="F20" s="248">
        <f>+'2.'!F20+'3.'!F20</f>
        <v>135000</v>
      </c>
      <c r="G20" s="249">
        <f>+'2.'!G20+'3.'!G20</f>
        <v>135000</v>
      </c>
      <c r="H20" s="188">
        <f t="shared" si="0"/>
        <v>100</v>
      </c>
      <c r="I20" s="13"/>
      <c r="J20" s="469"/>
      <c r="K20" s="19" t="s">
        <v>4</v>
      </c>
      <c r="L20" s="20" t="s">
        <v>11</v>
      </c>
      <c r="M20" s="249">
        <f>+'2.'!M20+'3.'!M20</f>
        <v>0</v>
      </c>
      <c r="N20" s="249">
        <f>+'2.'!N20+'3.'!N20</f>
        <v>0</v>
      </c>
      <c r="O20" s="249">
        <f>+'2.'!O20+'3.'!O20</f>
        <v>0</v>
      </c>
      <c r="P20" s="170">
        <v>0</v>
      </c>
    </row>
    <row r="21" spans="1:16" s="1" customFormat="1" ht="18" customHeight="1" x14ac:dyDescent="0.2">
      <c r="A21" s="17"/>
      <c r="B21" s="459" t="s">
        <v>68</v>
      </c>
      <c r="C21" s="471" t="s">
        <v>32</v>
      </c>
      <c r="D21" s="472"/>
      <c r="E21" s="186">
        <f>+E22+E23+E24</f>
        <v>9292084</v>
      </c>
      <c r="F21" s="186">
        <f>+F22+F23+F24</f>
        <v>10689675</v>
      </c>
      <c r="G21" s="166">
        <f>+G22+G23+G24</f>
        <v>10704653</v>
      </c>
      <c r="H21" s="185">
        <f t="shared" si="0"/>
        <v>100.14011651430002</v>
      </c>
      <c r="I21" s="13"/>
      <c r="J21" s="467" t="s">
        <v>51</v>
      </c>
      <c r="K21" s="482" t="s">
        <v>31</v>
      </c>
      <c r="L21" s="482"/>
      <c r="M21" s="166">
        <f>+M22+M23+M24</f>
        <v>153431222</v>
      </c>
      <c r="N21" s="166">
        <f>+N22+N23+N24</f>
        <v>767046903</v>
      </c>
      <c r="O21" s="166">
        <f>+O22+O23+O24</f>
        <v>396549760</v>
      </c>
      <c r="P21" s="165">
        <f t="shared" si="1"/>
        <v>51.698241456820014</v>
      </c>
    </row>
    <row r="22" spans="1:16" s="1" customFormat="1" ht="18" customHeight="1" x14ac:dyDescent="0.2">
      <c r="A22" s="17"/>
      <c r="B22" s="460"/>
      <c r="C22" s="19" t="s">
        <v>1</v>
      </c>
      <c r="D22" s="20" t="s">
        <v>10</v>
      </c>
      <c r="E22" s="248">
        <f>+'2.'!E22+'3.'!E22</f>
        <v>9292084</v>
      </c>
      <c r="F22" s="248">
        <f>+'2.'!F22+'3.'!F22</f>
        <v>10689675</v>
      </c>
      <c r="G22" s="249">
        <f>+'2.'!G22+'3.'!G22</f>
        <v>10704653</v>
      </c>
      <c r="H22" s="188">
        <f t="shared" si="0"/>
        <v>100.14011651430002</v>
      </c>
      <c r="I22" s="13"/>
      <c r="J22" s="468"/>
      <c r="K22" s="19" t="s">
        <v>1</v>
      </c>
      <c r="L22" s="20" t="s">
        <v>10</v>
      </c>
      <c r="M22" s="249">
        <f>+'2.'!M22+'3.'!M22</f>
        <v>151395015</v>
      </c>
      <c r="N22" s="249">
        <f>+'2.'!N22+'3.'!N22</f>
        <v>764334309</v>
      </c>
      <c r="O22" s="249">
        <f>+'2.'!O22+'3.'!O22</f>
        <v>395087873</v>
      </c>
      <c r="P22" s="170">
        <f t="shared" si="1"/>
        <v>51.69045381685202</v>
      </c>
    </row>
    <row r="23" spans="1:16" s="1" customFormat="1" ht="18" customHeight="1" x14ac:dyDescent="0.2">
      <c r="A23" s="17"/>
      <c r="B23" s="460"/>
      <c r="C23" s="19" t="s">
        <v>2</v>
      </c>
      <c r="D23" s="20" t="s">
        <v>12</v>
      </c>
      <c r="E23" s="248">
        <f>+'2.'!E23+'3.'!E23</f>
        <v>0</v>
      </c>
      <c r="F23" s="248">
        <f>+'2.'!F23+'3.'!F23</f>
        <v>0</v>
      </c>
      <c r="G23" s="249">
        <f>+'2.'!G23+'3.'!G23</f>
        <v>0</v>
      </c>
      <c r="H23" s="188">
        <v>0</v>
      </c>
      <c r="I23" s="13"/>
      <c r="J23" s="468"/>
      <c r="K23" s="19" t="s">
        <v>2</v>
      </c>
      <c r="L23" s="20" t="s">
        <v>12</v>
      </c>
      <c r="M23" s="249">
        <f>+'2.'!M23+'3.'!M23</f>
        <v>2036207</v>
      </c>
      <c r="N23" s="249">
        <f>+'2.'!N23+'3.'!N23</f>
        <v>2712594</v>
      </c>
      <c r="O23" s="249">
        <f>+'2.'!O23+'3.'!O23</f>
        <v>1461887</v>
      </c>
      <c r="P23" s="170">
        <f t="shared" si="1"/>
        <v>53.892583998932388</v>
      </c>
    </row>
    <row r="24" spans="1:16" s="1" customFormat="1" ht="18" customHeight="1" x14ac:dyDescent="0.2">
      <c r="A24" s="17"/>
      <c r="B24" s="461"/>
      <c r="C24" s="19" t="s">
        <v>4</v>
      </c>
      <c r="D24" s="20" t="s">
        <v>11</v>
      </c>
      <c r="E24" s="248">
        <f>+'2.'!E24+'3.'!E24</f>
        <v>0</v>
      </c>
      <c r="F24" s="248">
        <f>+'2.'!F24+'3.'!F24</f>
        <v>0</v>
      </c>
      <c r="G24" s="249">
        <f>+'2.'!G24+'3.'!G24</f>
        <v>0</v>
      </c>
      <c r="H24" s="188">
        <v>0</v>
      </c>
      <c r="I24" s="13"/>
      <c r="J24" s="469"/>
      <c r="K24" s="19" t="s">
        <v>4</v>
      </c>
      <c r="L24" s="20" t="s">
        <v>11</v>
      </c>
      <c r="M24" s="249">
        <f>+'2.'!M24+'3.'!M24</f>
        <v>0</v>
      </c>
      <c r="N24" s="249">
        <f>+'2.'!N24+'3.'!N24</f>
        <v>0</v>
      </c>
      <c r="O24" s="249">
        <f>+'2.'!O24+'3.'!O24</f>
        <v>0</v>
      </c>
      <c r="P24" s="170">
        <v>0</v>
      </c>
    </row>
    <row r="25" spans="1:16" s="1" customFormat="1" ht="18" customHeight="1" x14ac:dyDescent="0.2">
      <c r="A25" s="17"/>
      <c r="B25" s="459" t="s">
        <v>70</v>
      </c>
      <c r="C25" s="462" t="s">
        <v>46</v>
      </c>
      <c r="D25" s="463"/>
      <c r="E25" s="186">
        <f>+E26+E27+E28</f>
        <v>79393435</v>
      </c>
      <c r="F25" s="186">
        <f>+F26+F27+F28</f>
        <v>106104109</v>
      </c>
      <c r="G25" s="166">
        <f>+G26+G27+G28</f>
        <v>97187814</v>
      </c>
      <c r="H25" s="185">
        <f t="shared" si="0"/>
        <v>91.596654376504873</v>
      </c>
      <c r="I25" s="13"/>
      <c r="J25" s="467" t="s">
        <v>52</v>
      </c>
      <c r="K25" s="475" t="s">
        <v>8</v>
      </c>
      <c r="L25" s="475"/>
      <c r="M25" s="166">
        <f>+M26+M27+M28</f>
        <v>0</v>
      </c>
      <c r="N25" s="166">
        <f>+N26+N27+N28</f>
        <v>0</v>
      </c>
      <c r="O25" s="166">
        <f>+O26+O27+O28</f>
        <v>0</v>
      </c>
      <c r="P25" s="165">
        <v>0</v>
      </c>
    </row>
    <row r="26" spans="1:16" s="1" customFormat="1" ht="18" customHeight="1" x14ac:dyDescent="0.2">
      <c r="A26" s="17"/>
      <c r="B26" s="460"/>
      <c r="C26" s="19" t="s">
        <v>1</v>
      </c>
      <c r="D26" s="20" t="s">
        <v>10</v>
      </c>
      <c r="E26" s="248">
        <f>+'2.'!E26+'3.'!E26</f>
        <v>79393435</v>
      </c>
      <c r="F26" s="248">
        <f>+'2.'!F26+'3.'!F26</f>
        <v>106104109</v>
      </c>
      <c r="G26" s="249">
        <f>+'2.'!G26+'3.'!G26</f>
        <v>97187814</v>
      </c>
      <c r="H26" s="188">
        <f t="shared" si="0"/>
        <v>91.596654376504873</v>
      </c>
      <c r="I26" s="13"/>
      <c r="J26" s="468"/>
      <c r="K26" s="19" t="s">
        <v>1</v>
      </c>
      <c r="L26" s="20" t="s">
        <v>10</v>
      </c>
      <c r="M26" s="249">
        <f>+'2.'!M26+'3.'!M26</f>
        <v>0</v>
      </c>
      <c r="N26" s="249">
        <f>+'2.'!N26+'3.'!N26</f>
        <v>0</v>
      </c>
      <c r="O26" s="249">
        <f>+'2.'!O26+'3.'!O26</f>
        <v>0</v>
      </c>
      <c r="P26" s="170">
        <v>0</v>
      </c>
    </row>
    <row r="27" spans="1:16" s="1" customFormat="1" ht="18" customHeight="1" x14ac:dyDescent="0.2">
      <c r="A27" s="17"/>
      <c r="B27" s="460"/>
      <c r="C27" s="19" t="s">
        <v>2</v>
      </c>
      <c r="D27" s="20" t="s">
        <v>12</v>
      </c>
      <c r="E27" s="248">
        <f>+'2.'!E27+'3.'!E27</f>
        <v>0</v>
      </c>
      <c r="F27" s="248">
        <f>+'2.'!F27+'3.'!F27</f>
        <v>0</v>
      </c>
      <c r="G27" s="249">
        <f>+'2.'!G27+'3.'!G27</f>
        <v>0</v>
      </c>
      <c r="H27" s="188">
        <v>0</v>
      </c>
      <c r="I27" s="13"/>
      <c r="J27" s="468"/>
      <c r="K27" s="19" t="s">
        <v>2</v>
      </c>
      <c r="L27" s="20" t="s">
        <v>12</v>
      </c>
      <c r="M27" s="249">
        <f>+'2.'!M27+'3.'!M27</f>
        <v>0</v>
      </c>
      <c r="N27" s="249">
        <f>+'2.'!N27+'3.'!N27</f>
        <v>0</v>
      </c>
      <c r="O27" s="249">
        <f>+'2.'!O27+'3.'!O27</f>
        <v>0</v>
      </c>
      <c r="P27" s="170">
        <v>0</v>
      </c>
    </row>
    <row r="28" spans="1:16" s="1" customFormat="1" ht="18" customHeight="1" x14ac:dyDescent="0.2">
      <c r="A28" s="18"/>
      <c r="B28" s="461"/>
      <c r="C28" s="19" t="s">
        <v>4</v>
      </c>
      <c r="D28" s="20" t="s">
        <v>11</v>
      </c>
      <c r="E28" s="248">
        <f>+'2.'!E28+'3.'!E28</f>
        <v>0</v>
      </c>
      <c r="F28" s="248">
        <f>+'2.'!F28+'3.'!F28</f>
        <v>0</v>
      </c>
      <c r="G28" s="249">
        <f>+'2.'!G28+'3.'!G28</f>
        <v>0</v>
      </c>
      <c r="H28" s="188">
        <v>0</v>
      </c>
      <c r="I28" s="13"/>
      <c r="J28" s="469"/>
      <c r="K28" s="19" t="s">
        <v>4</v>
      </c>
      <c r="L28" s="20" t="s">
        <v>11</v>
      </c>
      <c r="M28" s="249">
        <f>+'2.'!M28+'3.'!M28</f>
        <v>0</v>
      </c>
      <c r="N28" s="249">
        <f>+'2.'!N28+'3.'!N28</f>
        <v>0</v>
      </c>
      <c r="O28" s="249">
        <f>+'2.'!O28+'3.'!O28</f>
        <v>0</v>
      </c>
      <c r="P28" s="170">
        <v>0</v>
      </c>
    </row>
    <row r="29" spans="1:16" s="1" customFormat="1" ht="18" customHeight="1" x14ac:dyDescent="0.2">
      <c r="A29" s="486"/>
      <c r="B29" s="487"/>
      <c r="C29" s="487"/>
      <c r="D29" s="487"/>
      <c r="E29" s="487"/>
      <c r="F29" s="487"/>
      <c r="G29" s="487"/>
      <c r="H29" s="488"/>
      <c r="I29" s="13"/>
      <c r="J29" s="467" t="s">
        <v>53</v>
      </c>
      <c r="K29" s="482" t="s">
        <v>13</v>
      </c>
      <c r="L29" s="482"/>
      <c r="M29" s="166">
        <f>+M30+M33+M34</f>
        <v>37988892</v>
      </c>
      <c r="N29" s="166">
        <f>+N30+N33+N34</f>
        <v>292771301</v>
      </c>
      <c r="O29" s="252">
        <f>+O30+O33+O34</f>
        <v>91618308</v>
      </c>
      <c r="P29" s="237">
        <f t="shared" si="1"/>
        <v>31.29347298969034</v>
      </c>
    </row>
    <row r="30" spans="1:16" s="1" customFormat="1" ht="18" customHeight="1" x14ac:dyDescent="0.2">
      <c r="A30" s="489"/>
      <c r="B30" s="490"/>
      <c r="C30" s="490"/>
      <c r="D30" s="490"/>
      <c r="E30" s="490"/>
      <c r="F30" s="490"/>
      <c r="G30" s="490"/>
      <c r="H30" s="491"/>
      <c r="I30" s="13"/>
      <c r="J30" s="468"/>
      <c r="K30" s="19" t="s">
        <v>1</v>
      </c>
      <c r="L30" s="20" t="s">
        <v>10</v>
      </c>
      <c r="M30" s="249">
        <f>+'2.'!M30+'3.'!M30</f>
        <v>34000892</v>
      </c>
      <c r="N30" s="249">
        <f>+'2.'!N30+'3.'!N30</f>
        <v>285371301</v>
      </c>
      <c r="O30" s="253">
        <f>+'2.'!O30+'3.'!O30</f>
        <v>86084480</v>
      </c>
      <c r="P30" s="172">
        <f t="shared" si="1"/>
        <v>30.165780405507558</v>
      </c>
    </row>
    <row r="31" spans="1:16" s="1" customFormat="1" ht="18" customHeight="1" x14ac:dyDescent="0.2">
      <c r="A31" s="489"/>
      <c r="B31" s="490"/>
      <c r="C31" s="490"/>
      <c r="D31" s="490"/>
      <c r="E31" s="490"/>
      <c r="F31" s="490"/>
      <c r="G31" s="490"/>
      <c r="H31" s="491"/>
      <c r="I31" s="13"/>
      <c r="J31" s="468"/>
      <c r="K31" s="33" t="s">
        <v>85</v>
      </c>
      <c r="L31" s="34" t="s">
        <v>87</v>
      </c>
      <c r="M31" s="254">
        <f>+'2.'!M31+'3.'!M31</f>
        <v>0</v>
      </c>
      <c r="N31" s="254">
        <f>+'2.'!N31+'3.'!N31</f>
        <v>103048774</v>
      </c>
      <c r="O31" s="255">
        <f>+'2.'!O31+'3.'!O31</f>
        <v>0</v>
      </c>
      <c r="P31" s="176">
        <f t="shared" si="1"/>
        <v>0</v>
      </c>
    </row>
    <row r="32" spans="1:16" s="1" customFormat="1" ht="18" customHeight="1" x14ac:dyDescent="0.2">
      <c r="A32" s="489"/>
      <c r="B32" s="490"/>
      <c r="C32" s="490"/>
      <c r="D32" s="490"/>
      <c r="E32" s="490"/>
      <c r="F32" s="490"/>
      <c r="G32" s="490"/>
      <c r="H32" s="491"/>
      <c r="I32" s="13"/>
      <c r="J32" s="468"/>
      <c r="K32" s="33" t="s">
        <v>86</v>
      </c>
      <c r="L32" s="34" t="s">
        <v>88</v>
      </c>
      <c r="M32" s="254">
        <f>+'2.'!M32+'3.'!M32</f>
        <v>0</v>
      </c>
      <c r="N32" s="254">
        <f>+'2.'!N32+'3.'!N32</f>
        <v>48601291</v>
      </c>
      <c r="O32" s="255">
        <f>+'2.'!O32+'3.'!O32</f>
        <v>0</v>
      </c>
      <c r="P32" s="176">
        <f t="shared" si="1"/>
        <v>0</v>
      </c>
    </row>
    <row r="33" spans="1:16" s="1" customFormat="1" ht="18" customHeight="1" x14ac:dyDescent="0.2">
      <c r="A33" s="489"/>
      <c r="B33" s="490"/>
      <c r="C33" s="490"/>
      <c r="D33" s="490"/>
      <c r="E33" s="490"/>
      <c r="F33" s="490"/>
      <c r="G33" s="490"/>
      <c r="H33" s="491"/>
      <c r="I33" s="13"/>
      <c r="J33" s="468"/>
      <c r="K33" s="19" t="s">
        <v>2</v>
      </c>
      <c r="L33" s="20" t="s">
        <v>12</v>
      </c>
      <c r="M33" s="249">
        <f>+'2.'!M33</f>
        <v>3988000</v>
      </c>
      <c r="N33" s="249">
        <f>+'2.'!N33</f>
        <v>7400000</v>
      </c>
      <c r="O33" s="253">
        <f>+'2.'!O33</f>
        <v>5533828</v>
      </c>
      <c r="P33" s="172">
        <f t="shared" si="1"/>
        <v>74.781459459459455</v>
      </c>
    </row>
    <row r="34" spans="1:16" s="1" customFormat="1" ht="18" customHeight="1" x14ac:dyDescent="0.2">
      <c r="A34" s="492"/>
      <c r="B34" s="493"/>
      <c r="C34" s="493"/>
      <c r="D34" s="493"/>
      <c r="E34" s="493"/>
      <c r="F34" s="493"/>
      <c r="G34" s="493"/>
      <c r="H34" s="494"/>
      <c r="I34" s="12"/>
      <c r="J34" s="469"/>
      <c r="K34" s="19" t="s">
        <v>4</v>
      </c>
      <c r="L34" s="20" t="s">
        <v>11</v>
      </c>
      <c r="M34" s="249">
        <f>+'2.'!M34</f>
        <v>0</v>
      </c>
      <c r="N34" s="249">
        <f>+'2.'!N34</f>
        <v>0</v>
      </c>
      <c r="O34" s="256">
        <f>+'2.'!O34</f>
        <v>0</v>
      </c>
      <c r="P34" s="172">
        <v>0</v>
      </c>
    </row>
    <row r="35" spans="1:16" s="1" customFormat="1" ht="18" customHeight="1" x14ac:dyDescent="0.2">
      <c r="A35" s="35" t="s">
        <v>0</v>
      </c>
      <c r="B35" s="495" t="s">
        <v>22</v>
      </c>
      <c r="C35" s="496"/>
      <c r="D35" s="497"/>
      <c r="E35" s="189">
        <f>+E36+E37+E38</f>
        <v>474902313</v>
      </c>
      <c r="F35" s="189">
        <f>+F36+F37+F38</f>
        <v>1215508312</v>
      </c>
      <c r="G35" s="189">
        <f>+G36+G37+G38</f>
        <v>1095723268</v>
      </c>
      <c r="H35" s="190">
        <f>+G35/F35*100</f>
        <v>90.145271503499188</v>
      </c>
      <c r="I35" s="36" t="s">
        <v>0</v>
      </c>
      <c r="J35" s="545" t="s">
        <v>17</v>
      </c>
      <c r="K35" s="546"/>
      <c r="L35" s="546"/>
      <c r="M35" s="257">
        <f>+M36+M37+M38</f>
        <v>573535408</v>
      </c>
      <c r="N35" s="257">
        <f>+N36+N37+N38</f>
        <v>1747189863</v>
      </c>
      <c r="O35" s="258">
        <f>+O36+O37+O38</f>
        <v>1007203197</v>
      </c>
      <c r="P35" s="182">
        <f t="shared" si="1"/>
        <v>57.647037584718404</v>
      </c>
    </row>
    <row r="36" spans="1:16" s="1" customFormat="1" ht="18" customHeight="1" x14ac:dyDescent="0.2">
      <c r="A36" s="24"/>
      <c r="B36" s="479" t="s">
        <v>73</v>
      </c>
      <c r="C36" s="25" t="s">
        <v>1</v>
      </c>
      <c r="D36" s="26" t="s">
        <v>10</v>
      </c>
      <c r="E36" s="191">
        <f t="shared" ref="E36:G38" si="2">+E26+E22+E18+E14</f>
        <v>474851313</v>
      </c>
      <c r="F36" s="191">
        <f t="shared" si="2"/>
        <v>1215373312</v>
      </c>
      <c r="G36" s="191">
        <f t="shared" si="2"/>
        <v>1095588268</v>
      </c>
      <c r="H36" s="192">
        <f t="shared" ref="H36:H38" si="3">+G36/F36*100</f>
        <v>90.14417686999532</v>
      </c>
      <c r="I36" s="484"/>
      <c r="J36" s="483" t="s">
        <v>72</v>
      </c>
      <c r="K36" s="25" t="s">
        <v>1</v>
      </c>
      <c r="L36" s="45" t="s">
        <v>10</v>
      </c>
      <c r="M36" s="259">
        <f>+M14+M18+M22+M26+M30</f>
        <v>563498880</v>
      </c>
      <c r="N36" s="259">
        <f>+N14+N18+N22+N26+N30</f>
        <v>1733174352</v>
      </c>
      <c r="O36" s="183">
        <f>+O14+O18+O22+O26+O30</f>
        <v>999275153</v>
      </c>
      <c r="P36" s="184">
        <f t="shared" si="1"/>
        <v>57.655777784092201</v>
      </c>
    </row>
    <row r="37" spans="1:16" s="1" customFormat="1" ht="18" customHeight="1" x14ac:dyDescent="0.2">
      <c r="A37" s="24"/>
      <c r="B37" s="480"/>
      <c r="C37" s="25" t="s">
        <v>2</v>
      </c>
      <c r="D37" s="26" t="s">
        <v>12</v>
      </c>
      <c r="E37" s="191">
        <f t="shared" si="2"/>
        <v>0</v>
      </c>
      <c r="F37" s="191">
        <f t="shared" si="2"/>
        <v>0</v>
      </c>
      <c r="G37" s="191">
        <f t="shared" si="2"/>
        <v>0</v>
      </c>
      <c r="H37" s="192">
        <v>0</v>
      </c>
      <c r="I37" s="484"/>
      <c r="J37" s="483"/>
      <c r="K37" s="25" t="s">
        <v>2</v>
      </c>
      <c r="L37" s="45" t="s">
        <v>12</v>
      </c>
      <c r="M37" s="259">
        <f>+M15+M19+M23+M33+M27</f>
        <v>10036528</v>
      </c>
      <c r="N37" s="259">
        <f>+N15+N19+N23+N33+N27</f>
        <v>14015511</v>
      </c>
      <c r="O37" s="259">
        <f>+O15+O19+O23+O33+O27</f>
        <v>7928044</v>
      </c>
      <c r="P37" s="184">
        <f t="shared" si="1"/>
        <v>56.566214389186378</v>
      </c>
    </row>
    <row r="38" spans="1:16" s="1" customFormat="1" ht="18" customHeight="1" x14ac:dyDescent="0.2">
      <c r="A38" s="27"/>
      <c r="B38" s="481"/>
      <c r="C38" s="25" t="s">
        <v>4</v>
      </c>
      <c r="D38" s="26" t="s">
        <v>11</v>
      </c>
      <c r="E38" s="191">
        <f t="shared" si="2"/>
        <v>51000</v>
      </c>
      <c r="F38" s="191">
        <f t="shared" si="2"/>
        <v>135000</v>
      </c>
      <c r="G38" s="191">
        <f t="shared" si="2"/>
        <v>135000</v>
      </c>
      <c r="H38" s="192">
        <f t="shared" si="3"/>
        <v>100</v>
      </c>
      <c r="I38" s="485"/>
      <c r="J38" s="483"/>
      <c r="K38" s="25" t="s">
        <v>4</v>
      </c>
      <c r="L38" s="45" t="s">
        <v>11</v>
      </c>
      <c r="M38" s="259">
        <f>+M16+M20+M24+M34+M27</f>
        <v>0</v>
      </c>
      <c r="N38" s="259">
        <f>+N16+N20+N24+N34+N27</f>
        <v>0</v>
      </c>
      <c r="O38" s="259">
        <f>+O16+O20+O24+O34+O27</f>
        <v>0</v>
      </c>
      <c r="P38" s="184">
        <v>0</v>
      </c>
    </row>
    <row r="39" spans="1:16" s="40" customFormat="1" ht="30.75" customHeight="1" thickBot="1" x14ac:dyDescent="0.25">
      <c r="A39" s="502" t="s">
        <v>89</v>
      </c>
      <c r="B39" s="503"/>
      <c r="C39" s="503"/>
      <c r="D39" s="504"/>
      <c r="E39" s="365">
        <f>M35-E35</f>
        <v>98633095</v>
      </c>
      <c r="F39" s="365">
        <f>N35-F35</f>
        <v>531681551</v>
      </c>
      <c r="G39" s="354"/>
      <c r="H39" s="373"/>
      <c r="I39" s="502" t="s">
        <v>90</v>
      </c>
      <c r="J39" s="503"/>
      <c r="K39" s="503"/>
      <c r="L39" s="504"/>
      <c r="M39" s="374"/>
      <c r="N39" s="374"/>
      <c r="O39" s="365">
        <f>G35-O35</f>
        <v>88520071</v>
      </c>
      <c r="P39" s="366"/>
    </row>
    <row r="40" spans="1:16" s="1" customFormat="1" ht="18" customHeight="1" x14ac:dyDescent="0.2">
      <c r="A40" s="527" t="s">
        <v>45</v>
      </c>
      <c r="B40" s="528"/>
      <c r="C40" s="528"/>
      <c r="D40" s="528"/>
      <c r="E40" s="528"/>
      <c r="F40" s="528"/>
      <c r="G40" s="528"/>
      <c r="H40" s="528"/>
      <c r="I40" s="528"/>
      <c r="J40" s="528"/>
      <c r="K40" s="528"/>
      <c r="L40" s="528"/>
      <c r="M40" s="528"/>
      <c r="N40" s="528"/>
      <c r="O40" s="528"/>
      <c r="P40" s="529"/>
    </row>
    <row r="41" spans="1:16" s="1" customFormat="1" ht="18" customHeight="1" x14ac:dyDescent="0.2">
      <c r="A41" s="37" t="s">
        <v>3</v>
      </c>
      <c r="B41" s="464" t="s">
        <v>23</v>
      </c>
      <c r="C41" s="465"/>
      <c r="D41" s="466"/>
      <c r="E41" s="244">
        <f>+E42+E46+E50</f>
        <v>53921000</v>
      </c>
      <c r="F41" s="244">
        <f>+F42+F46+F50</f>
        <v>16244053</v>
      </c>
      <c r="G41" s="244">
        <f>+G42+G46+G50</f>
        <v>13274803</v>
      </c>
      <c r="H41" s="185">
        <f>+G41/F41*100</f>
        <v>81.721002757132098</v>
      </c>
      <c r="I41" s="38" t="s">
        <v>3</v>
      </c>
      <c r="J41" s="498" t="s">
        <v>21</v>
      </c>
      <c r="K41" s="499"/>
      <c r="L41" s="500"/>
      <c r="M41" s="260">
        <f>+M42+M46+M50</f>
        <v>115378387</v>
      </c>
      <c r="N41" s="260">
        <f>+N42+N46+N50</f>
        <v>370608804</v>
      </c>
      <c r="O41" s="251">
        <f>+O42+O46+O50</f>
        <v>228061020</v>
      </c>
      <c r="P41" s="185">
        <f>+O41/N41*100</f>
        <v>61.536859766558592</v>
      </c>
    </row>
    <row r="42" spans="1:16" s="1" customFormat="1" ht="18" customHeight="1" x14ac:dyDescent="0.2">
      <c r="A42" s="17"/>
      <c r="B42" s="459" t="s">
        <v>66</v>
      </c>
      <c r="C42" s="473" t="s">
        <v>258</v>
      </c>
      <c r="D42" s="474"/>
      <c r="E42" s="186">
        <f>+E43+E44+E45</f>
        <v>53210000</v>
      </c>
      <c r="F42" s="186">
        <f>+F43+F44+F45</f>
        <v>10000000</v>
      </c>
      <c r="G42" s="186">
        <f>+G43+G44+G45</f>
        <v>10000000</v>
      </c>
      <c r="H42" s="185">
        <f t="shared" ref="H42:H51" si="4">+G42/F42*100</f>
        <v>100</v>
      </c>
      <c r="I42" s="13"/>
      <c r="J42" s="467" t="s">
        <v>55</v>
      </c>
      <c r="K42" s="462" t="s">
        <v>14</v>
      </c>
      <c r="L42" s="463"/>
      <c r="M42" s="166">
        <f>+M43+M44+M45</f>
        <v>112956260</v>
      </c>
      <c r="N42" s="166">
        <f>+N43+N44+N45</f>
        <v>362568164</v>
      </c>
      <c r="O42" s="166">
        <f>+O43+O44+O45</f>
        <v>220612975</v>
      </c>
      <c r="P42" s="185">
        <f t="shared" ref="P42:P43" si="5">+O42/N42*100</f>
        <v>60.847310079877836</v>
      </c>
    </row>
    <row r="43" spans="1:16" s="1" customFormat="1" ht="18" customHeight="1" x14ac:dyDescent="0.2">
      <c r="A43" s="17"/>
      <c r="B43" s="460"/>
      <c r="C43" s="19" t="s">
        <v>1</v>
      </c>
      <c r="D43" s="20" t="s">
        <v>10</v>
      </c>
      <c r="E43" s="248">
        <f>+'2.'!E43+'3.'!E41</f>
        <v>53210000</v>
      </c>
      <c r="F43" s="248">
        <f>+'2.'!F43+'3.'!F41</f>
        <v>10000000</v>
      </c>
      <c r="G43" s="248">
        <f>+'2.'!G43+'3.'!G41</f>
        <v>10000000</v>
      </c>
      <c r="H43" s="188">
        <f t="shared" si="4"/>
        <v>100</v>
      </c>
      <c r="I43" s="13"/>
      <c r="J43" s="468"/>
      <c r="K43" s="19" t="s">
        <v>1</v>
      </c>
      <c r="L43" s="20" t="s">
        <v>10</v>
      </c>
      <c r="M43" s="248">
        <f>+'2.'!M43+'3.'!M41</f>
        <v>112956260</v>
      </c>
      <c r="N43" s="248">
        <f>+'2.'!N43+'3.'!N41</f>
        <v>362568164</v>
      </c>
      <c r="O43" s="248">
        <f>+'2.'!O43+'3.'!O41</f>
        <v>220612975</v>
      </c>
      <c r="P43" s="188">
        <f t="shared" si="5"/>
        <v>60.847310079877836</v>
      </c>
    </row>
    <row r="44" spans="1:16" s="1" customFormat="1" ht="18" customHeight="1" x14ac:dyDescent="0.2">
      <c r="A44" s="17"/>
      <c r="B44" s="460"/>
      <c r="C44" s="19" t="s">
        <v>2</v>
      </c>
      <c r="D44" s="20" t="s">
        <v>12</v>
      </c>
      <c r="E44" s="248">
        <f>+'2.'!E44+'3.'!E42</f>
        <v>0</v>
      </c>
      <c r="F44" s="248">
        <f>+'2.'!F44+'3.'!F42</f>
        <v>0</v>
      </c>
      <c r="G44" s="248">
        <f>+'2.'!G44+'3.'!G42</f>
        <v>0</v>
      </c>
      <c r="H44" s="188">
        <v>0</v>
      </c>
      <c r="I44" s="13"/>
      <c r="J44" s="468"/>
      <c r="K44" s="19" t="s">
        <v>2</v>
      </c>
      <c r="L44" s="20" t="s">
        <v>12</v>
      </c>
      <c r="M44" s="248">
        <f>+'2.'!M44+'3.'!M42</f>
        <v>0</v>
      </c>
      <c r="N44" s="248">
        <f>+'2.'!N44+'3.'!N42</f>
        <v>0</v>
      </c>
      <c r="O44" s="248">
        <f>+'2.'!O44+'3.'!O42</f>
        <v>0</v>
      </c>
      <c r="P44" s="188">
        <v>0</v>
      </c>
    </row>
    <row r="45" spans="1:16" s="1" customFormat="1" ht="18" customHeight="1" x14ac:dyDescent="0.2">
      <c r="A45" s="17"/>
      <c r="B45" s="461"/>
      <c r="C45" s="19" t="s">
        <v>4</v>
      </c>
      <c r="D45" s="20" t="s">
        <v>11</v>
      </c>
      <c r="E45" s="248">
        <f>+'2.'!E45+'3.'!E43</f>
        <v>0</v>
      </c>
      <c r="F45" s="248">
        <f>+'2.'!F45+'3.'!F43</f>
        <v>0</v>
      </c>
      <c r="G45" s="248">
        <f>+'2.'!G45+'3.'!G43</f>
        <v>0</v>
      </c>
      <c r="H45" s="188">
        <v>0</v>
      </c>
      <c r="I45" s="13"/>
      <c r="J45" s="469"/>
      <c r="K45" s="19" t="s">
        <v>4</v>
      </c>
      <c r="L45" s="20" t="s">
        <v>11</v>
      </c>
      <c r="M45" s="248">
        <f>+'2.'!M45+'3.'!M43</f>
        <v>0</v>
      </c>
      <c r="N45" s="248">
        <f>+'2.'!N45+'3.'!N43</f>
        <v>0</v>
      </c>
      <c r="O45" s="248">
        <f>+'2.'!O45+'3.'!O43</f>
        <v>0</v>
      </c>
      <c r="P45" s="188">
        <v>0</v>
      </c>
    </row>
    <row r="46" spans="1:16" s="1" customFormat="1" ht="18" customHeight="1" x14ac:dyDescent="0.2">
      <c r="A46" s="17"/>
      <c r="B46" s="459" t="s">
        <v>69</v>
      </c>
      <c r="C46" s="471" t="s">
        <v>24</v>
      </c>
      <c r="D46" s="472"/>
      <c r="E46" s="186">
        <f>+E47+E48+E49</f>
        <v>711000</v>
      </c>
      <c r="F46" s="186">
        <f>+F47+F48+F49</f>
        <v>3274803</v>
      </c>
      <c r="G46" s="186">
        <f>+G47+G48+G49</f>
        <v>3274803</v>
      </c>
      <c r="H46" s="185">
        <f t="shared" si="4"/>
        <v>100</v>
      </c>
      <c r="I46" s="13"/>
      <c r="J46" s="467" t="s">
        <v>56</v>
      </c>
      <c r="K46" s="471" t="s">
        <v>15</v>
      </c>
      <c r="L46" s="472"/>
      <c r="M46" s="166">
        <f>+M47+M48+M49</f>
        <v>2422127</v>
      </c>
      <c r="N46" s="166">
        <f>+N47+N48+N49</f>
        <v>8040640</v>
      </c>
      <c r="O46" s="166">
        <f>+O47+O48+O49</f>
        <v>7448045</v>
      </c>
      <c r="P46" s="185">
        <f t="shared" ref="P46:P47" si="6">+O46/N46*100</f>
        <v>92.630002089385926</v>
      </c>
    </row>
    <row r="47" spans="1:16" s="1" customFormat="1" ht="18" customHeight="1" x14ac:dyDescent="0.2">
      <c r="A47" s="17"/>
      <c r="B47" s="460"/>
      <c r="C47" s="19" t="s">
        <v>1</v>
      </c>
      <c r="D47" s="20" t="s">
        <v>10</v>
      </c>
      <c r="E47" s="248">
        <f>+'2.'!E47+'3.'!E45</f>
        <v>711000</v>
      </c>
      <c r="F47" s="248">
        <f>+'2.'!F47+'3.'!F45</f>
        <v>3274803</v>
      </c>
      <c r="G47" s="248">
        <f>+'2.'!G47+'3.'!G45</f>
        <v>3274803</v>
      </c>
      <c r="H47" s="188">
        <f t="shared" si="4"/>
        <v>100</v>
      </c>
      <c r="I47" s="13"/>
      <c r="J47" s="468"/>
      <c r="K47" s="19" t="s">
        <v>1</v>
      </c>
      <c r="L47" s="20" t="s">
        <v>10</v>
      </c>
      <c r="M47" s="248">
        <f>+'2.'!M47+'3.'!M45</f>
        <v>2422127</v>
      </c>
      <c r="N47" s="248">
        <f>+'2.'!N47+'3.'!N45</f>
        <v>8040640</v>
      </c>
      <c r="O47" s="248">
        <f>+'2.'!O47+'3.'!O45</f>
        <v>7448045</v>
      </c>
      <c r="P47" s="188">
        <f t="shared" si="6"/>
        <v>92.630002089385926</v>
      </c>
    </row>
    <row r="48" spans="1:16" s="1" customFormat="1" ht="18" customHeight="1" x14ac:dyDescent="0.2">
      <c r="A48" s="17"/>
      <c r="B48" s="460"/>
      <c r="C48" s="19" t="s">
        <v>2</v>
      </c>
      <c r="D48" s="20" t="s">
        <v>12</v>
      </c>
      <c r="E48" s="248">
        <f>+'2.'!E48+'3.'!E46</f>
        <v>0</v>
      </c>
      <c r="F48" s="248">
        <f>+'2.'!F48+'3.'!F46</f>
        <v>0</v>
      </c>
      <c r="G48" s="248">
        <f>+'2.'!G48+'3.'!G46</f>
        <v>0</v>
      </c>
      <c r="H48" s="188">
        <v>0</v>
      </c>
      <c r="I48" s="13"/>
      <c r="J48" s="468"/>
      <c r="K48" s="19" t="s">
        <v>2</v>
      </c>
      <c r="L48" s="20" t="s">
        <v>12</v>
      </c>
      <c r="M48" s="248">
        <f>+'2.'!M48+'3.'!M46</f>
        <v>0</v>
      </c>
      <c r="N48" s="248">
        <f>+'2.'!N48+'3.'!N46</f>
        <v>0</v>
      </c>
      <c r="O48" s="248">
        <f>+'2.'!O48+'3.'!O46</f>
        <v>0</v>
      </c>
      <c r="P48" s="188">
        <v>0</v>
      </c>
    </row>
    <row r="49" spans="1:18" s="1" customFormat="1" ht="18" customHeight="1" x14ac:dyDescent="0.2">
      <c r="A49" s="17"/>
      <c r="B49" s="461"/>
      <c r="C49" s="19" t="s">
        <v>4</v>
      </c>
      <c r="D49" s="20" t="s">
        <v>11</v>
      </c>
      <c r="E49" s="248">
        <f>+'2.'!E49+'3.'!E47</f>
        <v>0</v>
      </c>
      <c r="F49" s="248">
        <f>+'2.'!F49+'3.'!F47</f>
        <v>0</v>
      </c>
      <c r="G49" s="248">
        <f>+'2.'!G49+'3.'!G47</f>
        <v>0</v>
      </c>
      <c r="H49" s="188">
        <v>0</v>
      </c>
      <c r="I49" s="13"/>
      <c r="J49" s="469"/>
      <c r="K49" s="19" t="s">
        <v>4</v>
      </c>
      <c r="L49" s="20" t="s">
        <v>11</v>
      </c>
      <c r="M49" s="248">
        <f>+'2.'!M49+'3.'!M47</f>
        <v>0</v>
      </c>
      <c r="N49" s="248">
        <f>+'2.'!N49+'3.'!N47</f>
        <v>0</v>
      </c>
      <c r="O49" s="248">
        <f>+'2.'!O49+'3.'!O47</f>
        <v>0</v>
      </c>
      <c r="P49" s="188">
        <v>0</v>
      </c>
    </row>
    <row r="50" spans="1:18" s="1" customFormat="1" ht="18" customHeight="1" x14ac:dyDescent="0.2">
      <c r="A50" s="17"/>
      <c r="B50" s="459" t="s">
        <v>71</v>
      </c>
      <c r="C50" s="462" t="s">
        <v>47</v>
      </c>
      <c r="D50" s="463"/>
      <c r="E50" s="186">
        <f>+E51+E52+E53</f>
        <v>0</v>
      </c>
      <c r="F50" s="186">
        <f>+F51+F52+F53</f>
        <v>2969250</v>
      </c>
      <c r="G50" s="186">
        <f>+G51+G52+G53</f>
        <v>0</v>
      </c>
      <c r="H50" s="185">
        <f t="shared" si="4"/>
        <v>0</v>
      </c>
      <c r="I50" s="13"/>
      <c r="J50" s="467" t="s">
        <v>57</v>
      </c>
      <c r="K50" s="482" t="s">
        <v>58</v>
      </c>
      <c r="L50" s="482"/>
      <c r="M50" s="166">
        <f>+M51+M52+M53</f>
        <v>0</v>
      </c>
      <c r="N50" s="166">
        <f>+N51+N52+N53</f>
        <v>0</v>
      </c>
      <c r="O50" s="164">
        <f>+O51+O52+O53</f>
        <v>0</v>
      </c>
      <c r="P50" s="185">
        <v>0</v>
      </c>
    </row>
    <row r="51" spans="1:18" s="1" customFormat="1" ht="18" customHeight="1" x14ac:dyDescent="0.2">
      <c r="A51" s="17"/>
      <c r="B51" s="460"/>
      <c r="C51" s="19" t="s">
        <v>1</v>
      </c>
      <c r="D51" s="20" t="s">
        <v>10</v>
      </c>
      <c r="E51" s="248">
        <f>+'2.'!E51+'3.'!E49</f>
        <v>0</v>
      </c>
      <c r="F51" s="248">
        <f>+'2.'!F51+'3.'!F49</f>
        <v>2969250</v>
      </c>
      <c r="G51" s="248">
        <f>+'2.'!G51+'3.'!G49</f>
        <v>0</v>
      </c>
      <c r="H51" s="188">
        <f t="shared" si="4"/>
        <v>0</v>
      </c>
      <c r="I51" s="13"/>
      <c r="J51" s="468"/>
      <c r="K51" s="19" t="s">
        <v>1</v>
      </c>
      <c r="L51" s="20" t="s">
        <v>10</v>
      </c>
      <c r="M51" s="248">
        <f>+'2.'!M51+'3.'!M49</f>
        <v>0</v>
      </c>
      <c r="N51" s="248">
        <f>+'2.'!N51+'3.'!N49</f>
        <v>0</v>
      </c>
      <c r="O51" s="248">
        <f>+'2.'!O51+'3.'!O49</f>
        <v>0</v>
      </c>
      <c r="P51" s="188">
        <v>0</v>
      </c>
    </row>
    <row r="52" spans="1:18" s="1" customFormat="1" ht="18" customHeight="1" x14ac:dyDescent="0.2">
      <c r="A52" s="17"/>
      <c r="B52" s="460"/>
      <c r="C52" s="19" t="s">
        <v>2</v>
      </c>
      <c r="D52" s="20" t="s">
        <v>12</v>
      </c>
      <c r="E52" s="248">
        <f>+'2.'!E52+'3.'!E50</f>
        <v>0</v>
      </c>
      <c r="F52" s="248">
        <f>+'2.'!F52+'3.'!F50</f>
        <v>0</v>
      </c>
      <c r="G52" s="248">
        <f>+'2.'!G52+'3.'!G50</f>
        <v>0</v>
      </c>
      <c r="H52" s="188">
        <v>0</v>
      </c>
      <c r="I52" s="13"/>
      <c r="J52" s="468"/>
      <c r="K52" s="19" t="s">
        <v>2</v>
      </c>
      <c r="L52" s="20" t="s">
        <v>12</v>
      </c>
      <c r="M52" s="248">
        <f>+'2.'!M52+'3.'!M50</f>
        <v>0</v>
      </c>
      <c r="N52" s="248">
        <f>+'2.'!N52+'3.'!N50</f>
        <v>0</v>
      </c>
      <c r="O52" s="248">
        <f>+'2.'!O52+'3.'!O50</f>
        <v>0</v>
      </c>
      <c r="P52" s="188">
        <v>0</v>
      </c>
    </row>
    <row r="53" spans="1:18" s="1" customFormat="1" ht="18" customHeight="1" x14ac:dyDescent="0.2">
      <c r="A53" s="18"/>
      <c r="B53" s="461"/>
      <c r="C53" s="19" t="s">
        <v>4</v>
      </c>
      <c r="D53" s="20" t="s">
        <v>11</v>
      </c>
      <c r="E53" s="248">
        <f>+'2.'!E53+'3.'!E51</f>
        <v>0</v>
      </c>
      <c r="F53" s="248">
        <f>+'2.'!F53+'3.'!F51</f>
        <v>0</v>
      </c>
      <c r="G53" s="248">
        <f>+'2.'!G53+'3.'!G51</f>
        <v>0</v>
      </c>
      <c r="H53" s="188">
        <v>0</v>
      </c>
      <c r="I53" s="12"/>
      <c r="J53" s="469"/>
      <c r="K53" s="19" t="s">
        <v>4</v>
      </c>
      <c r="L53" s="20" t="s">
        <v>11</v>
      </c>
      <c r="M53" s="248">
        <f>+'2.'!M53+'3.'!M51</f>
        <v>0</v>
      </c>
      <c r="N53" s="248">
        <f>+'2.'!N53+'3.'!N51</f>
        <v>0</v>
      </c>
      <c r="O53" s="248">
        <f>+'2.'!O53+'3.'!O51</f>
        <v>0</v>
      </c>
      <c r="P53" s="188">
        <v>0</v>
      </c>
    </row>
    <row r="54" spans="1:18" s="1" customFormat="1" ht="18" customHeight="1" x14ac:dyDescent="0.2">
      <c r="A54" s="22" t="s">
        <v>3</v>
      </c>
      <c r="B54" s="476" t="s">
        <v>25</v>
      </c>
      <c r="C54" s="477"/>
      <c r="D54" s="478"/>
      <c r="E54" s="193">
        <f>+E55+E56+E57</f>
        <v>53921000</v>
      </c>
      <c r="F54" s="193">
        <f>+F55+F56+F57</f>
        <v>16244053</v>
      </c>
      <c r="G54" s="193">
        <f>+G55+G56+G57</f>
        <v>13274803</v>
      </c>
      <c r="H54" s="233">
        <f>+G54/F54*100</f>
        <v>81.721002757132098</v>
      </c>
      <c r="I54" s="23" t="s">
        <v>3</v>
      </c>
      <c r="J54" s="476" t="s">
        <v>18</v>
      </c>
      <c r="K54" s="477"/>
      <c r="L54" s="478"/>
      <c r="M54" s="181">
        <f>+M55+M56+M57</f>
        <v>115378387</v>
      </c>
      <c r="N54" s="181">
        <f>+N55+N56+N57</f>
        <v>370608804</v>
      </c>
      <c r="O54" s="201">
        <f>+O55+O56+O57</f>
        <v>228061020</v>
      </c>
      <c r="P54" s="240">
        <f>+O54/N54*100</f>
        <v>61.536859766558592</v>
      </c>
    </row>
    <row r="55" spans="1:18" s="1" customFormat="1" ht="18" customHeight="1" x14ac:dyDescent="0.2">
      <c r="A55" s="24"/>
      <c r="B55" s="514" t="s">
        <v>74</v>
      </c>
      <c r="C55" s="25" t="s">
        <v>1</v>
      </c>
      <c r="D55" s="26" t="s">
        <v>10</v>
      </c>
      <c r="E55" s="191">
        <f t="shared" ref="E55:G57" si="7">+E51+E47+E43</f>
        <v>53921000</v>
      </c>
      <c r="F55" s="191">
        <f t="shared" si="7"/>
        <v>16244053</v>
      </c>
      <c r="G55" s="191">
        <f t="shared" si="7"/>
        <v>13274803</v>
      </c>
      <c r="H55" s="234">
        <f t="shared" ref="H55" si="8">+G55/F55*100</f>
        <v>81.721002757132098</v>
      </c>
      <c r="I55" s="28"/>
      <c r="J55" s="510" t="s">
        <v>59</v>
      </c>
      <c r="K55" s="25" t="s">
        <v>1</v>
      </c>
      <c r="L55" s="26" t="s">
        <v>10</v>
      </c>
      <c r="M55" s="183">
        <f t="shared" ref="M55:O57" si="9">+M51+M47+M43</f>
        <v>115378387</v>
      </c>
      <c r="N55" s="183">
        <f t="shared" si="9"/>
        <v>370608804</v>
      </c>
      <c r="O55" s="196">
        <f t="shared" si="9"/>
        <v>228061020</v>
      </c>
      <c r="P55" s="241">
        <f t="shared" ref="P55" si="10">+O55/N55*100</f>
        <v>61.536859766558592</v>
      </c>
    </row>
    <row r="56" spans="1:18" s="1" customFormat="1" ht="18" customHeight="1" x14ac:dyDescent="0.2">
      <c r="A56" s="24"/>
      <c r="B56" s="515"/>
      <c r="C56" s="25" t="s">
        <v>2</v>
      </c>
      <c r="D56" s="26" t="s">
        <v>12</v>
      </c>
      <c r="E56" s="191">
        <f t="shared" si="7"/>
        <v>0</v>
      </c>
      <c r="F56" s="191">
        <f t="shared" si="7"/>
        <v>0</v>
      </c>
      <c r="G56" s="191">
        <f t="shared" si="7"/>
        <v>0</v>
      </c>
      <c r="H56" s="234">
        <v>0</v>
      </c>
      <c r="I56" s="28"/>
      <c r="J56" s="510"/>
      <c r="K56" s="25" t="s">
        <v>2</v>
      </c>
      <c r="L56" s="26" t="s">
        <v>12</v>
      </c>
      <c r="M56" s="196">
        <f t="shared" si="9"/>
        <v>0</v>
      </c>
      <c r="N56" s="196">
        <f t="shared" si="9"/>
        <v>0</v>
      </c>
      <c r="O56" s="196">
        <f t="shared" si="9"/>
        <v>0</v>
      </c>
      <c r="P56" s="241">
        <f t="shared" ref="P56:P57" si="11">P44+P48+P52</f>
        <v>0</v>
      </c>
    </row>
    <row r="57" spans="1:18" s="1" customFormat="1" ht="18" customHeight="1" x14ac:dyDescent="0.2">
      <c r="A57" s="24"/>
      <c r="B57" s="515"/>
      <c r="C57" s="30" t="s">
        <v>4</v>
      </c>
      <c r="D57" s="31" t="s">
        <v>11</v>
      </c>
      <c r="E57" s="250">
        <f t="shared" si="7"/>
        <v>0</v>
      </c>
      <c r="F57" s="250">
        <f t="shared" si="7"/>
        <v>0</v>
      </c>
      <c r="G57" s="250">
        <f t="shared" si="7"/>
        <v>0</v>
      </c>
      <c r="H57" s="234">
        <v>0</v>
      </c>
      <c r="I57" s="28"/>
      <c r="J57" s="510"/>
      <c r="K57" s="25" t="s">
        <v>4</v>
      </c>
      <c r="L57" s="26" t="s">
        <v>11</v>
      </c>
      <c r="M57" s="196">
        <f t="shared" si="9"/>
        <v>0</v>
      </c>
      <c r="N57" s="196">
        <f t="shared" si="9"/>
        <v>0</v>
      </c>
      <c r="O57" s="196">
        <f t="shared" si="9"/>
        <v>0</v>
      </c>
      <c r="P57" s="242">
        <f t="shared" si="11"/>
        <v>0</v>
      </c>
    </row>
    <row r="58" spans="1:18" s="39" customFormat="1" ht="31.5" customHeight="1" thickBot="1" x14ac:dyDescent="0.25">
      <c r="A58" s="505" t="s">
        <v>91</v>
      </c>
      <c r="B58" s="506"/>
      <c r="C58" s="506"/>
      <c r="D58" s="506"/>
      <c r="E58" s="375">
        <f>M54-E54</f>
        <v>61457387</v>
      </c>
      <c r="F58" s="375">
        <f>N55-F55</f>
        <v>354364751</v>
      </c>
      <c r="G58" s="375">
        <f>O54-G54</f>
        <v>214786217</v>
      </c>
      <c r="H58" s="375"/>
      <c r="I58" s="505" t="s">
        <v>92</v>
      </c>
      <c r="J58" s="506"/>
      <c r="K58" s="506"/>
      <c r="L58" s="506"/>
      <c r="M58" s="375"/>
      <c r="N58" s="375"/>
      <c r="O58" s="354"/>
      <c r="P58" s="360"/>
    </row>
    <row r="59" spans="1:18" s="1" customFormat="1" ht="18" customHeight="1" x14ac:dyDescent="0.2">
      <c r="A59" s="32" t="s">
        <v>34</v>
      </c>
      <c r="B59" s="537" t="s">
        <v>35</v>
      </c>
      <c r="C59" s="538"/>
      <c r="D59" s="539"/>
      <c r="E59" s="197">
        <f>E60+E61+E62</f>
        <v>528823313</v>
      </c>
      <c r="F59" s="197">
        <f>F60+F61+F62</f>
        <v>1231752365</v>
      </c>
      <c r="G59" s="197">
        <f>G60+G61+G62</f>
        <v>1108998071</v>
      </c>
      <c r="H59" s="235">
        <f>+G59/F59*100</f>
        <v>90.034174279827752</v>
      </c>
      <c r="I59" s="32" t="s">
        <v>34</v>
      </c>
      <c r="J59" s="543" t="s">
        <v>37</v>
      </c>
      <c r="K59" s="544"/>
      <c r="L59" s="544"/>
      <c r="M59" s="197">
        <f>M60+M61+M62</f>
        <v>688913795</v>
      </c>
      <c r="N59" s="197">
        <f>N60+N61+N62</f>
        <v>2117798667</v>
      </c>
      <c r="O59" s="197">
        <f>O60+O61+O62</f>
        <v>1235264217</v>
      </c>
      <c r="P59" s="243">
        <f>+O59/N59*100</f>
        <v>58.327745514630635</v>
      </c>
    </row>
    <row r="60" spans="1:18" s="1" customFormat="1" ht="18" customHeight="1" x14ac:dyDescent="0.2">
      <c r="A60" s="24"/>
      <c r="B60" s="511" t="s">
        <v>76</v>
      </c>
      <c r="C60" s="25" t="s">
        <v>1</v>
      </c>
      <c r="D60" s="26" t="s">
        <v>10</v>
      </c>
      <c r="E60" s="198">
        <f t="shared" ref="E60:G62" si="12">E36+E55</f>
        <v>528772313</v>
      </c>
      <c r="F60" s="198">
        <f t="shared" si="12"/>
        <v>1231617365</v>
      </c>
      <c r="G60" s="198">
        <f t="shared" si="12"/>
        <v>1108863071</v>
      </c>
      <c r="H60" s="236">
        <f>+G60/F60*100</f>
        <v>90.033081906083709</v>
      </c>
      <c r="I60" s="484"/>
      <c r="J60" s="536" t="s">
        <v>75</v>
      </c>
      <c r="K60" s="25" t="s">
        <v>1</v>
      </c>
      <c r="L60" s="26" t="s">
        <v>10</v>
      </c>
      <c r="M60" s="183">
        <f t="shared" ref="M60:O61" si="13">M36+M55</f>
        <v>678877267</v>
      </c>
      <c r="N60" s="183">
        <f t="shared" si="13"/>
        <v>2103783156</v>
      </c>
      <c r="O60" s="183">
        <f t="shared" si="13"/>
        <v>1227336173</v>
      </c>
      <c r="P60" s="242">
        <f>+O60/N60*100</f>
        <v>58.339480925095877</v>
      </c>
    </row>
    <row r="61" spans="1:18" s="1" customFormat="1" ht="18" customHeight="1" x14ac:dyDescent="0.2">
      <c r="A61" s="24"/>
      <c r="B61" s="512"/>
      <c r="C61" s="25" t="s">
        <v>2</v>
      </c>
      <c r="D61" s="26" t="s">
        <v>12</v>
      </c>
      <c r="E61" s="198">
        <f t="shared" si="12"/>
        <v>0</v>
      </c>
      <c r="F61" s="198">
        <f t="shared" si="12"/>
        <v>0</v>
      </c>
      <c r="G61" s="198">
        <f t="shared" si="12"/>
        <v>0</v>
      </c>
      <c r="H61" s="236">
        <v>0</v>
      </c>
      <c r="I61" s="484"/>
      <c r="J61" s="536"/>
      <c r="K61" s="25" t="s">
        <v>2</v>
      </c>
      <c r="L61" s="26" t="s">
        <v>12</v>
      </c>
      <c r="M61" s="183">
        <f t="shared" si="13"/>
        <v>10036528</v>
      </c>
      <c r="N61" s="183">
        <f t="shared" si="13"/>
        <v>14015511</v>
      </c>
      <c r="O61" s="183">
        <f t="shared" si="13"/>
        <v>7928044</v>
      </c>
      <c r="P61" s="242">
        <f>+O61/N61*100</f>
        <v>56.566214389186378</v>
      </c>
    </row>
    <row r="62" spans="1:18" s="1" customFormat="1" ht="18" customHeight="1" x14ac:dyDescent="0.2">
      <c r="A62" s="27"/>
      <c r="B62" s="513"/>
      <c r="C62" s="25" t="s">
        <v>4</v>
      </c>
      <c r="D62" s="26" t="s">
        <v>11</v>
      </c>
      <c r="E62" s="198">
        <f t="shared" si="12"/>
        <v>51000</v>
      </c>
      <c r="F62" s="198">
        <f t="shared" si="12"/>
        <v>135000</v>
      </c>
      <c r="G62" s="198">
        <f t="shared" si="12"/>
        <v>135000</v>
      </c>
      <c r="H62" s="236">
        <f>+G62/F62*100</f>
        <v>100</v>
      </c>
      <c r="I62" s="485"/>
      <c r="J62" s="536"/>
      <c r="K62" s="25" t="s">
        <v>4</v>
      </c>
      <c r="L62" s="26" t="s">
        <v>11</v>
      </c>
      <c r="M62" s="183">
        <f>+M38+M57</f>
        <v>0</v>
      </c>
      <c r="N62" s="183">
        <f>+N38+N57</f>
        <v>0</v>
      </c>
      <c r="O62" s="183">
        <f>+O38+O57</f>
        <v>0</v>
      </c>
      <c r="P62" s="241">
        <f t="shared" ref="P62" si="14">P38+P57</f>
        <v>0</v>
      </c>
    </row>
    <row r="63" spans="1:18" s="9" customFormat="1" ht="30" customHeight="1" thickBot="1" x14ac:dyDescent="0.25">
      <c r="A63" s="540" t="s">
        <v>63</v>
      </c>
      <c r="B63" s="541"/>
      <c r="C63" s="541"/>
      <c r="D63" s="542"/>
      <c r="E63" s="370">
        <f>M59-E59</f>
        <v>160090482</v>
      </c>
      <c r="F63" s="370">
        <f>N59-F59</f>
        <v>886046302</v>
      </c>
      <c r="G63" s="370">
        <f>O59-G59</f>
        <v>126266146</v>
      </c>
      <c r="H63" s="370"/>
      <c r="I63" s="540" t="s">
        <v>64</v>
      </c>
      <c r="J63" s="541"/>
      <c r="K63" s="541"/>
      <c r="L63" s="542"/>
      <c r="M63" s="358"/>
      <c r="N63" s="369"/>
      <c r="O63" s="370"/>
      <c r="P63" s="376"/>
    </row>
    <row r="64" spans="1:18" s="1" customFormat="1" ht="18" customHeight="1" x14ac:dyDescent="0.2">
      <c r="A64" s="58" t="s">
        <v>38</v>
      </c>
      <c r="B64" s="507" t="s">
        <v>36</v>
      </c>
      <c r="C64" s="508"/>
      <c r="D64" s="509"/>
      <c r="E64" s="199">
        <f>E65+E66</f>
        <v>1071024784</v>
      </c>
      <c r="F64" s="199">
        <f>F65+F66</f>
        <v>910934302</v>
      </c>
      <c r="G64" s="199">
        <f>G65+G66</f>
        <v>910934302</v>
      </c>
      <c r="H64" s="204">
        <f>+G64/F64*100</f>
        <v>100</v>
      </c>
      <c r="I64" s="58" t="s">
        <v>38</v>
      </c>
      <c r="J64" s="507" t="s">
        <v>48</v>
      </c>
      <c r="K64" s="508"/>
      <c r="L64" s="509"/>
      <c r="M64" s="261">
        <f>+M65+M66</f>
        <v>12444000</v>
      </c>
      <c r="N64" s="261">
        <f>+N65+N66</f>
        <v>24888000</v>
      </c>
      <c r="O64" s="199">
        <f>+O65+O66</f>
        <v>12444000</v>
      </c>
      <c r="P64" s="245">
        <f>+O64/N64*100</f>
        <v>50</v>
      </c>
      <c r="R64" s="262"/>
    </row>
    <row r="65" spans="1:16" s="1" customFormat="1" ht="18" customHeight="1" x14ac:dyDescent="0.2">
      <c r="A65" s="29"/>
      <c r="B65" s="534" t="s">
        <v>65</v>
      </c>
      <c r="C65" s="19" t="s">
        <v>1</v>
      </c>
      <c r="D65" s="20" t="s">
        <v>77</v>
      </c>
      <c r="E65" s="248">
        <f>+'2.'!E65+'3.'!E63</f>
        <v>1058580784</v>
      </c>
      <c r="F65" s="248">
        <f>+'2.'!F65+'3.'!F63</f>
        <v>898490302</v>
      </c>
      <c r="G65" s="248">
        <f>+'2.'!G65+'3.'!G63</f>
        <v>898490302</v>
      </c>
      <c r="H65" s="170">
        <f t="shared" ref="H65:H70" si="15">+G65/F65*100</f>
        <v>100</v>
      </c>
      <c r="I65" s="29"/>
      <c r="J65" s="534" t="s">
        <v>60</v>
      </c>
      <c r="K65" s="19" t="s">
        <v>1</v>
      </c>
      <c r="L65" s="20" t="s">
        <v>80</v>
      </c>
      <c r="M65" s="249">
        <v>0</v>
      </c>
      <c r="N65" s="249">
        <v>0</v>
      </c>
      <c r="O65" s="249">
        <v>0</v>
      </c>
      <c r="P65" s="246">
        <v>0</v>
      </c>
    </row>
    <row r="66" spans="1:16" s="1" customFormat="1" ht="18" customHeight="1" x14ac:dyDescent="0.2">
      <c r="A66" s="29"/>
      <c r="B66" s="535"/>
      <c r="C66" s="19" t="s">
        <v>2</v>
      </c>
      <c r="D66" s="20" t="s">
        <v>78</v>
      </c>
      <c r="E66" s="248">
        <f>+'2.'!E66</f>
        <v>12444000</v>
      </c>
      <c r="F66" s="248">
        <f>+'2.'!F66</f>
        <v>12444000</v>
      </c>
      <c r="G66" s="248">
        <f>+'2.'!G66</f>
        <v>12444000</v>
      </c>
      <c r="H66" s="170">
        <f>G66/F66*100</f>
        <v>100</v>
      </c>
      <c r="I66" s="29"/>
      <c r="J66" s="535"/>
      <c r="K66" s="19" t="s">
        <v>2</v>
      </c>
      <c r="L66" s="34" t="s">
        <v>79</v>
      </c>
      <c r="M66" s="249">
        <f>+'2.'!M66</f>
        <v>12444000</v>
      </c>
      <c r="N66" s="249">
        <f>+'2.'!N66</f>
        <v>24888000</v>
      </c>
      <c r="O66" s="249">
        <f>+'2.'!O66</f>
        <v>12444000</v>
      </c>
      <c r="P66" s="246">
        <f t="shared" ref="P66" si="16">+O66/N66*100</f>
        <v>50</v>
      </c>
    </row>
    <row r="67" spans="1:16" s="7" customFormat="1" ht="18" customHeight="1" x14ac:dyDescent="0.2">
      <c r="A67" s="377" t="s">
        <v>39</v>
      </c>
      <c r="B67" s="519" t="s">
        <v>28</v>
      </c>
      <c r="C67" s="520"/>
      <c r="D67" s="521"/>
      <c r="E67" s="378">
        <f>E68+E69+E70</f>
        <v>1599848097</v>
      </c>
      <c r="F67" s="378">
        <f>+F68+F69+F70</f>
        <v>2142686667</v>
      </c>
      <c r="G67" s="378">
        <f>+G68+G69+G70</f>
        <v>2019932373</v>
      </c>
      <c r="H67" s="379">
        <f t="shared" si="15"/>
        <v>94.271010507949356</v>
      </c>
      <c r="I67" s="380" t="s">
        <v>39</v>
      </c>
      <c r="J67" s="519" t="s">
        <v>29</v>
      </c>
      <c r="K67" s="520"/>
      <c r="L67" s="521"/>
      <c r="M67" s="378">
        <f>M68+M69+M70</f>
        <v>701357795</v>
      </c>
      <c r="N67" s="378">
        <f>N68+N69+N70</f>
        <v>2142686667</v>
      </c>
      <c r="O67" s="378">
        <f>O68+O69+O70</f>
        <v>1247708217</v>
      </c>
      <c r="P67" s="381">
        <f>+O67/N67*100</f>
        <v>58.231016051774411</v>
      </c>
    </row>
    <row r="68" spans="1:16" s="7" customFormat="1" ht="18" customHeight="1" x14ac:dyDescent="0.2">
      <c r="A68" s="382"/>
      <c r="B68" s="516" t="s">
        <v>62</v>
      </c>
      <c r="C68" s="383" t="s">
        <v>1</v>
      </c>
      <c r="D68" s="384" t="s">
        <v>10</v>
      </c>
      <c r="E68" s="385">
        <f>'2.'!E68+'3.'!E66-'2.'!M65</f>
        <v>1599797097</v>
      </c>
      <c r="F68" s="385">
        <f>+F60+F64</f>
        <v>2142551667</v>
      </c>
      <c r="G68" s="385">
        <f>+G60+G64</f>
        <v>2019797373</v>
      </c>
      <c r="H68" s="386">
        <f t="shared" si="15"/>
        <v>94.270649530152028</v>
      </c>
      <c r="I68" s="387"/>
      <c r="J68" s="516" t="s">
        <v>61</v>
      </c>
      <c r="K68" s="383" t="s">
        <v>1</v>
      </c>
      <c r="L68" s="384" t="s">
        <v>10</v>
      </c>
      <c r="M68" s="388">
        <f>+M60+M64</f>
        <v>691321267</v>
      </c>
      <c r="N68" s="388">
        <f>+N60+N64</f>
        <v>2128671156</v>
      </c>
      <c r="O68" s="388">
        <f>+O60+O64</f>
        <v>1239780173</v>
      </c>
      <c r="P68" s="389">
        <f t="shared" ref="P68:P69" si="17">+O68/N68*100</f>
        <v>58.241977371914935</v>
      </c>
    </row>
    <row r="69" spans="1:16" s="7" customFormat="1" ht="18" customHeight="1" x14ac:dyDescent="0.2">
      <c r="A69" s="382"/>
      <c r="B69" s="517"/>
      <c r="C69" s="383" t="s">
        <v>2</v>
      </c>
      <c r="D69" s="384" t="s">
        <v>12</v>
      </c>
      <c r="E69" s="385">
        <f>'2.'!E69+'3.'!E67</f>
        <v>0</v>
      </c>
      <c r="F69" s="385">
        <f>+F61</f>
        <v>0</v>
      </c>
      <c r="G69" s="385">
        <f>+G61</f>
        <v>0</v>
      </c>
      <c r="H69" s="386">
        <v>0</v>
      </c>
      <c r="I69" s="387"/>
      <c r="J69" s="517"/>
      <c r="K69" s="383" t="s">
        <v>2</v>
      </c>
      <c r="L69" s="384" t="s">
        <v>12</v>
      </c>
      <c r="M69" s="388">
        <f>M61</f>
        <v>10036528</v>
      </c>
      <c r="N69" s="388">
        <f>N61</f>
        <v>14015511</v>
      </c>
      <c r="O69" s="385">
        <f>O61</f>
        <v>7928044</v>
      </c>
      <c r="P69" s="389">
        <f t="shared" si="17"/>
        <v>56.566214389186378</v>
      </c>
    </row>
    <row r="70" spans="1:16" s="7" customFormat="1" ht="18" customHeight="1" thickBot="1" x14ac:dyDescent="0.25">
      <c r="A70" s="390"/>
      <c r="B70" s="518"/>
      <c r="C70" s="391" t="s">
        <v>4</v>
      </c>
      <c r="D70" s="392" t="s">
        <v>11</v>
      </c>
      <c r="E70" s="393">
        <f t="shared" ref="E70" si="18">E62</f>
        <v>51000</v>
      </c>
      <c r="F70" s="393">
        <f>F62</f>
        <v>135000</v>
      </c>
      <c r="G70" s="393">
        <f>G62</f>
        <v>135000</v>
      </c>
      <c r="H70" s="394">
        <f t="shared" si="15"/>
        <v>100</v>
      </c>
      <c r="I70" s="395"/>
      <c r="J70" s="518"/>
      <c r="K70" s="391" t="s">
        <v>4</v>
      </c>
      <c r="L70" s="392" t="s">
        <v>11</v>
      </c>
      <c r="M70" s="396">
        <v>0</v>
      </c>
      <c r="N70" s="396">
        <v>0</v>
      </c>
      <c r="O70" s="393">
        <v>0</v>
      </c>
      <c r="P70" s="397">
        <v>0</v>
      </c>
    </row>
    <row r="72" spans="1:16" x14ac:dyDescent="0.2">
      <c r="A72" s="501"/>
      <c r="B72" s="501"/>
      <c r="C72" s="501"/>
      <c r="D72" s="501"/>
      <c r="E72" s="501"/>
      <c r="F72" s="15"/>
      <c r="G72" s="11"/>
      <c r="H72" s="15"/>
      <c r="O72" s="15"/>
      <c r="P72" s="15"/>
    </row>
  </sheetData>
  <sheetProtection formatCells="0"/>
  <mergeCells count="78">
    <mergeCell ref="D8:L8"/>
    <mergeCell ref="B65:B66"/>
    <mergeCell ref="I60:I62"/>
    <mergeCell ref="J60:J62"/>
    <mergeCell ref="B59:D59"/>
    <mergeCell ref="A63:D63"/>
    <mergeCell ref="I63:L63"/>
    <mergeCell ref="J59:L59"/>
    <mergeCell ref="J65:J66"/>
    <mergeCell ref="C50:D50"/>
    <mergeCell ref="J46:J49"/>
    <mergeCell ref="J50:J53"/>
    <mergeCell ref="B50:B53"/>
    <mergeCell ref="J35:L35"/>
    <mergeCell ref="A40:P40"/>
    <mergeCell ref="B46:B49"/>
    <mergeCell ref="J67:L67"/>
    <mergeCell ref="L1:P1"/>
    <mergeCell ref="C10:D10"/>
    <mergeCell ref="K10:L10"/>
    <mergeCell ref="C25:D25"/>
    <mergeCell ref="K25:L25"/>
    <mergeCell ref="J21:J24"/>
    <mergeCell ref="C17:D17"/>
    <mergeCell ref="K17:L17"/>
    <mergeCell ref="J12:L12"/>
    <mergeCell ref="A11:P11"/>
    <mergeCell ref="J13:J16"/>
    <mergeCell ref="J17:J20"/>
    <mergeCell ref="B21:B24"/>
    <mergeCell ref="A9:H9"/>
    <mergeCell ref="I9:P9"/>
    <mergeCell ref="K21:L21"/>
    <mergeCell ref="A72:E72"/>
    <mergeCell ref="A39:D39"/>
    <mergeCell ref="I39:L39"/>
    <mergeCell ref="A58:D58"/>
    <mergeCell ref="I58:L58"/>
    <mergeCell ref="B64:D64"/>
    <mergeCell ref="J55:J57"/>
    <mergeCell ref="B60:B62"/>
    <mergeCell ref="J64:L64"/>
    <mergeCell ref="C46:D46"/>
    <mergeCell ref="K46:L46"/>
    <mergeCell ref="B55:B57"/>
    <mergeCell ref="B68:B70"/>
    <mergeCell ref="J68:J70"/>
    <mergeCell ref="B67:D67"/>
    <mergeCell ref="B54:D54"/>
    <mergeCell ref="J29:J34"/>
    <mergeCell ref="B36:B38"/>
    <mergeCell ref="J54:L54"/>
    <mergeCell ref="K50:L50"/>
    <mergeCell ref="C42:D42"/>
    <mergeCell ref="B42:B45"/>
    <mergeCell ref="J36:J38"/>
    <mergeCell ref="I36:I38"/>
    <mergeCell ref="A29:H34"/>
    <mergeCell ref="K29:L29"/>
    <mergeCell ref="B35:D35"/>
    <mergeCell ref="J41:L41"/>
    <mergeCell ref="J42:J45"/>
    <mergeCell ref="L2:P2"/>
    <mergeCell ref="B25:B28"/>
    <mergeCell ref="K42:L42"/>
    <mergeCell ref="B41:D41"/>
    <mergeCell ref="J25:J28"/>
    <mergeCell ref="A3:P3"/>
    <mergeCell ref="A4:P4"/>
    <mergeCell ref="A5:P5"/>
    <mergeCell ref="A6:P6"/>
    <mergeCell ref="A7:P7"/>
    <mergeCell ref="C21:D21"/>
    <mergeCell ref="C13:D13"/>
    <mergeCell ref="K13:L13"/>
    <mergeCell ref="B12:D12"/>
    <mergeCell ref="B13:B16"/>
    <mergeCell ref="B17:B20"/>
  </mergeCells>
  <phoneticPr fontId="9" type="noConversion"/>
  <printOptions horizontalCentered="1"/>
  <pageMargins left="0.19685039370078741" right="0.19685039370078741" top="3.937007874015748E-2" bottom="0" header="0.43307086614173229" footer="0.51181102362204722"/>
  <pageSetup paperSize="9" scale="71" orientation="landscape" r:id="rId1"/>
  <headerFooter alignWithMargins="0"/>
  <rowBreaks count="1" manualBreakCount="1">
    <brk id="39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68DA1-4A2D-4288-A9E7-DB6BB246D34B}">
  <sheetPr>
    <tabColor theme="6" tint="0.59999389629810485"/>
  </sheetPr>
  <dimension ref="A1:T181"/>
  <sheetViews>
    <sheetView tabSelected="1" topLeftCell="A5" zoomScaleNormal="100" zoomScaleSheetLayoutView="100" workbookViewId="0">
      <selection activeCell="Q27" sqref="Q27"/>
    </sheetView>
  </sheetViews>
  <sheetFormatPr defaultRowHeight="15.75" x14ac:dyDescent="0.25"/>
  <cols>
    <col min="1" max="1" width="5.5703125" style="98" customWidth="1"/>
    <col min="2" max="2" width="36.85546875" style="147" customWidth="1"/>
    <col min="3" max="3" width="12.85546875" style="63" customWidth="1"/>
    <col min="4" max="4" width="13" style="63" customWidth="1"/>
    <col min="5" max="5" width="14.42578125" style="63" customWidth="1"/>
    <col min="6" max="6" width="11.5703125" style="63" customWidth="1"/>
    <col min="7" max="7" width="11.28515625" style="63" customWidth="1"/>
    <col min="8" max="8" width="12.28515625" style="63" customWidth="1"/>
    <col min="9" max="9" width="12.42578125" style="63" customWidth="1"/>
    <col min="10" max="10" width="13.140625" style="63" customWidth="1"/>
    <col min="11" max="11" width="12.140625" style="63" customWidth="1"/>
    <col min="12" max="12" width="13.7109375" style="63" customWidth="1"/>
    <col min="13" max="13" width="15.42578125" style="63" customWidth="1"/>
    <col min="14" max="14" width="12.42578125" style="63" bestFit="1" customWidth="1"/>
    <col min="15" max="19" width="9.140625" style="63"/>
    <col min="20" max="20" width="11.28515625" style="63" bestFit="1" customWidth="1"/>
    <col min="21" max="212" width="9.140625" style="63"/>
    <col min="213" max="213" width="5.5703125" style="63" customWidth="1"/>
    <col min="214" max="214" width="24.140625" style="63" customWidth="1"/>
    <col min="215" max="215" width="81.42578125" style="63" customWidth="1"/>
    <col min="216" max="218" width="3.7109375" style="63" customWidth="1"/>
    <col min="219" max="219" width="10.85546875" style="63" customWidth="1"/>
    <col min="220" max="220" width="11.7109375" style="63" customWidth="1"/>
    <col min="221" max="468" width="9.140625" style="63"/>
    <col min="469" max="469" width="5.5703125" style="63" customWidth="1"/>
    <col min="470" max="470" width="24.140625" style="63" customWidth="1"/>
    <col min="471" max="471" width="81.42578125" style="63" customWidth="1"/>
    <col min="472" max="474" width="3.7109375" style="63" customWidth="1"/>
    <col min="475" max="475" width="10.85546875" style="63" customWidth="1"/>
    <col min="476" max="476" width="11.7109375" style="63" customWidth="1"/>
    <col min="477" max="724" width="9.140625" style="63"/>
    <col min="725" max="725" width="5.5703125" style="63" customWidth="1"/>
    <col min="726" max="726" width="24.140625" style="63" customWidth="1"/>
    <col min="727" max="727" width="81.42578125" style="63" customWidth="1"/>
    <col min="728" max="730" width="3.7109375" style="63" customWidth="1"/>
    <col min="731" max="731" width="10.85546875" style="63" customWidth="1"/>
    <col min="732" max="732" width="11.7109375" style="63" customWidth="1"/>
    <col min="733" max="980" width="9.140625" style="63"/>
    <col min="981" max="981" width="5.5703125" style="63" customWidth="1"/>
    <col min="982" max="982" width="24.140625" style="63" customWidth="1"/>
    <col min="983" max="983" width="81.42578125" style="63" customWidth="1"/>
    <col min="984" max="986" width="3.7109375" style="63" customWidth="1"/>
    <col min="987" max="987" width="10.85546875" style="63" customWidth="1"/>
    <col min="988" max="988" width="11.7109375" style="63" customWidth="1"/>
    <col min="989" max="1236" width="9.140625" style="63"/>
    <col min="1237" max="1237" width="5.5703125" style="63" customWidth="1"/>
    <col min="1238" max="1238" width="24.140625" style="63" customWidth="1"/>
    <col min="1239" max="1239" width="81.42578125" style="63" customWidth="1"/>
    <col min="1240" max="1242" width="3.7109375" style="63" customWidth="1"/>
    <col min="1243" max="1243" width="10.85546875" style="63" customWidth="1"/>
    <col min="1244" max="1244" width="11.7109375" style="63" customWidth="1"/>
    <col min="1245" max="1492" width="9.140625" style="63"/>
    <col min="1493" max="1493" width="5.5703125" style="63" customWidth="1"/>
    <col min="1494" max="1494" width="24.140625" style="63" customWidth="1"/>
    <col min="1495" max="1495" width="81.42578125" style="63" customWidth="1"/>
    <col min="1496" max="1498" width="3.7109375" style="63" customWidth="1"/>
    <col min="1499" max="1499" width="10.85546875" style="63" customWidth="1"/>
    <col min="1500" max="1500" width="11.7109375" style="63" customWidth="1"/>
    <col min="1501" max="1748" width="9.140625" style="63"/>
    <col min="1749" max="1749" width="5.5703125" style="63" customWidth="1"/>
    <col min="1750" max="1750" width="24.140625" style="63" customWidth="1"/>
    <col min="1751" max="1751" width="81.42578125" style="63" customWidth="1"/>
    <col min="1752" max="1754" width="3.7109375" style="63" customWidth="1"/>
    <col min="1755" max="1755" width="10.85546875" style="63" customWidth="1"/>
    <col min="1756" max="1756" width="11.7109375" style="63" customWidth="1"/>
    <col min="1757" max="2004" width="9.140625" style="63"/>
    <col min="2005" max="2005" width="5.5703125" style="63" customWidth="1"/>
    <col min="2006" max="2006" width="24.140625" style="63" customWidth="1"/>
    <col min="2007" max="2007" width="81.42578125" style="63" customWidth="1"/>
    <col min="2008" max="2010" width="3.7109375" style="63" customWidth="1"/>
    <col min="2011" max="2011" width="10.85546875" style="63" customWidth="1"/>
    <col min="2012" max="2012" width="11.7109375" style="63" customWidth="1"/>
    <col min="2013" max="2260" width="9.140625" style="63"/>
    <col min="2261" max="2261" width="5.5703125" style="63" customWidth="1"/>
    <col min="2262" max="2262" width="24.140625" style="63" customWidth="1"/>
    <col min="2263" max="2263" width="81.42578125" style="63" customWidth="1"/>
    <col min="2264" max="2266" width="3.7109375" style="63" customWidth="1"/>
    <col min="2267" max="2267" width="10.85546875" style="63" customWidth="1"/>
    <col min="2268" max="2268" width="11.7109375" style="63" customWidth="1"/>
    <col min="2269" max="2516" width="9.140625" style="63"/>
    <col min="2517" max="2517" width="5.5703125" style="63" customWidth="1"/>
    <col min="2518" max="2518" width="24.140625" style="63" customWidth="1"/>
    <col min="2519" max="2519" width="81.42578125" style="63" customWidth="1"/>
    <col min="2520" max="2522" width="3.7109375" style="63" customWidth="1"/>
    <col min="2523" max="2523" width="10.85546875" style="63" customWidth="1"/>
    <col min="2524" max="2524" width="11.7109375" style="63" customWidth="1"/>
    <col min="2525" max="2772" width="9.140625" style="63"/>
    <col min="2773" max="2773" width="5.5703125" style="63" customWidth="1"/>
    <col min="2774" max="2774" width="24.140625" style="63" customWidth="1"/>
    <col min="2775" max="2775" width="81.42578125" style="63" customWidth="1"/>
    <col min="2776" max="2778" width="3.7109375" style="63" customWidth="1"/>
    <col min="2779" max="2779" width="10.85546875" style="63" customWidth="1"/>
    <col min="2780" max="2780" width="11.7109375" style="63" customWidth="1"/>
    <col min="2781" max="3028" width="9.140625" style="63"/>
    <col min="3029" max="3029" width="5.5703125" style="63" customWidth="1"/>
    <col min="3030" max="3030" width="24.140625" style="63" customWidth="1"/>
    <col min="3031" max="3031" width="81.42578125" style="63" customWidth="1"/>
    <col min="3032" max="3034" width="3.7109375" style="63" customWidth="1"/>
    <col min="3035" max="3035" width="10.85546875" style="63" customWidth="1"/>
    <col min="3036" max="3036" width="11.7109375" style="63" customWidth="1"/>
    <col min="3037" max="3284" width="9.140625" style="63"/>
    <col min="3285" max="3285" width="5.5703125" style="63" customWidth="1"/>
    <col min="3286" max="3286" width="24.140625" style="63" customWidth="1"/>
    <col min="3287" max="3287" width="81.42578125" style="63" customWidth="1"/>
    <col min="3288" max="3290" width="3.7109375" style="63" customWidth="1"/>
    <col min="3291" max="3291" width="10.85546875" style="63" customWidth="1"/>
    <col min="3292" max="3292" width="11.7109375" style="63" customWidth="1"/>
    <col min="3293" max="3540" width="9.140625" style="63"/>
    <col min="3541" max="3541" width="5.5703125" style="63" customWidth="1"/>
    <col min="3542" max="3542" width="24.140625" style="63" customWidth="1"/>
    <col min="3543" max="3543" width="81.42578125" style="63" customWidth="1"/>
    <col min="3544" max="3546" width="3.7109375" style="63" customWidth="1"/>
    <col min="3547" max="3547" width="10.85546875" style="63" customWidth="1"/>
    <col min="3548" max="3548" width="11.7109375" style="63" customWidth="1"/>
    <col min="3549" max="3796" width="9.140625" style="63"/>
    <col min="3797" max="3797" width="5.5703125" style="63" customWidth="1"/>
    <col min="3798" max="3798" width="24.140625" style="63" customWidth="1"/>
    <col min="3799" max="3799" width="81.42578125" style="63" customWidth="1"/>
    <col min="3800" max="3802" width="3.7109375" style="63" customWidth="1"/>
    <col min="3803" max="3803" width="10.85546875" style="63" customWidth="1"/>
    <col min="3804" max="3804" width="11.7109375" style="63" customWidth="1"/>
    <col min="3805" max="4052" width="9.140625" style="63"/>
    <col min="4053" max="4053" width="5.5703125" style="63" customWidth="1"/>
    <col min="4054" max="4054" width="24.140625" style="63" customWidth="1"/>
    <col min="4055" max="4055" width="81.42578125" style="63" customWidth="1"/>
    <col min="4056" max="4058" width="3.7109375" style="63" customWidth="1"/>
    <col min="4059" max="4059" width="10.85546875" style="63" customWidth="1"/>
    <col min="4060" max="4060" width="11.7109375" style="63" customWidth="1"/>
    <col min="4061" max="4308" width="9.140625" style="63"/>
    <col min="4309" max="4309" width="5.5703125" style="63" customWidth="1"/>
    <col min="4310" max="4310" width="24.140625" style="63" customWidth="1"/>
    <col min="4311" max="4311" width="81.42578125" style="63" customWidth="1"/>
    <col min="4312" max="4314" width="3.7109375" style="63" customWidth="1"/>
    <col min="4315" max="4315" width="10.85546875" style="63" customWidth="1"/>
    <col min="4316" max="4316" width="11.7109375" style="63" customWidth="1"/>
    <col min="4317" max="4564" width="9.140625" style="63"/>
    <col min="4565" max="4565" width="5.5703125" style="63" customWidth="1"/>
    <col min="4566" max="4566" width="24.140625" style="63" customWidth="1"/>
    <col min="4567" max="4567" width="81.42578125" style="63" customWidth="1"/>
    <col min="4568" max="4570" width="3.7109375" style="63" customWidth="1"/>
    <col min="4571" max="4571" width="10.85546875" style="63" customWidth="1"/>
    <col min="4572" max="4572" width="11.7109375" style="63" customWidth="1"/>
    <col min="4573" max="4820" width="9.140625" style="63"/>
    <col min="4821" max="4821" width="5.5703125" style="63" customWidth="1"/>
    <col min="4822" max="4822" width="24.140625" style="63" customWidth="1"/>
    <col min="4823" max="4823" width="81.42578125" style="63" customWidth="1"/>
    <col min="4824" max="4826" width="3.7109375" style="63" customWidth="1"/>
    <col min="4827" max="4827" width="10.85546875" style="63" customWidth="1"/>
    <col min="4828" max="4828" width="11.7109375" style="63" customWidth="1"/>
    <col min="4829" max="5076" width="9.140625" style="63"/>
    <col min="5077" max="5077" width="5.5703125" style="63" customWidth="1"/>
    <col min="5078" max="5078" width="24.140625" style="63" customWidth="1"/>
    <col min="5079" max="5079" width="81.42578125" style="63" customWidth="1"/>
    <col min="5080" max="5082" width="3.7109375" style="63" customWidth="1"/>
    <col min="5083" max="5083" width="10.85546875" style="63" customWidth="1"/>
    <col min="5084" max="5084" width="11.7109375" style="63" customWidth="1"/>
    <col min="5085" max="5332" width="9.140625" style="63"/>
    <col min="5333" max="5333" width="5.5703125" style="63" customWidth="1"/>
    <col min="5334" max="5334" width="24.140625" style="63" customWidth="1"/>
    <col min="5335" max="5335" width="81.42578125" style="63" customWidth="1"/>
    <col min="5336" max="5338" width="3.7109375" style="63" customWidth="1"/>
    <col min="5339" max="5339" width="10.85546875" style="63" customWidth="1"/>
    <col min="5340" max="5340" width="11.7109375" style="63" customWidth="1"/>
    <col min="5341" max="5588" width="9.140625" style="63"/>
    <col min="5589" max="5589" width="5.5703125" style="63" customWidth="1"/>
    <col min="5590" max="5590" width="24.140625" style="63" customWidth="1"/>
    <col min="5591" max="5591" width="81.42578125" style="63" customWidth="1"/>
    <col min="5592" max="5594" width="3.7109375" style="63" customWidth="1"/>
    <col min="5595" max="5595" width="10.85546875" style="63" customWidth="1"/>
    <col min="5596" max="5596" width="11.7109375" style="63" customWidth="1"/>
    <col min="5597" max="5844" width="9.140625" style="63"/>
    <col min="5845" max="5845" width="5.5703125" style="63" customWidth="1"/>
    <col min="5846" max="5846" width="24.140625" style="63" customWidth="1"/>
    <col min="5847" max="5847" width="81.42578125" style="63" customWidth="1"/>
    <col min="5848" max="5850" width="3.7109375" style="63" customWidth="1"/>
    <col min="5851" max="5851" width="10.85546875" style="63" customWidth="1"/>
    <col min="5852" max="5852" width="11.7109375" style="63" customWidth="1"/>
    <col min="5853" max="6100" width="9.140625" style="63"/>
    <col min="6101" max="6101" width="5.5703125" style="63" customWidth="1"/>
    <col min="6102" max="6102" width="24.140625" style="63" customWidth="1"/>
    <col min="6103" max="6103" width="81.42578125" style="63" customWidth="1"/>
    <col min="6104" max="6106" width="3.7109375" style="63" customWidth="1"/>
    <col min="6107" max="6107" width="10.85546875" style="63" customWidth="1"/>
    <col min="6108" max="6108" width="11.7109375" style="63" customWidth="1"/>
    <col min="6109" max="6356" width="9.140625" style="63"/>
    <col min="6357" max="6357" width="5.5703125" style="63" customWidth="1"/>
    <col min="6358" max="6358" width="24.140625" style="63" customWidth="1"/>
    <col min="6359" max="6359" width="81.42578125" style="63" customWidth="1"/>
    <col min="6360" max="6362" width="3.7109375" style="63" customWidth="1"/>
    <col min="6363" max="6363" width="10.85546875" style="63" customWidth="1"/>
    <col min="6364" max="6364" width="11.7109375" style="63" customWidth="1"/>
    <col min="6365" max="6612" width="9.140625" style="63"/>
    <col min="6613" max="6613" width="5.5703125" style="63" customWidth="1"/>
    <col min="6614" max="6614" width="24.140625" style="63" customWidth="1"/>
    <col min="6615" max="6615" width="81.42578125" style="63" customWidth="1"/>
    <col min="6616" max="6618" width="3.7109375" style="63" customWidth="1"/>
    <col min="6619" max="6619" width="10.85546875" style="63" customWidth="1"/>
    <col min="6620" max="6620" width="11.7109375" style="63" customWidth="1"/>
    <col min="6621" max="6868" width="9.140625" style="63"/>
    <col min="6869" max="6869" width="5.5703125" style="63" customWidth="1"/>
    <col min="6870" max="6870" width="24.140625" style="63" customWidth="1"/>
    <col min="6871" max="6871" width="81.42578125" style="63" customWidth="1"/>
    <col min="6872" max="6874" width="3.7109375" style="63" customWidth="1"/>
    <col min="6875" max="6875" width="10.85546875" style="63" customWidth="1"/>
    <col min="6876" max="6876" width="11.7109375" style="63" customWidth="1"/>
    <col min="6877" max="7124" width="9.140625" style="63"/>
    <col min="7125" max="7125" width="5.5703125" style="63" customWidth="1"/>
    <col min="7126" max="7126" width="24.140625" style="63" customWidth="1"/>
    <col min="7127" max="7127" width="81.42578125" style="63" customWidth="1"/>
    <col min="7128" max="7130" width="3.7109375" style="63" customWidth="1"/>
    <col min="7131" max="7131" width="10.85546875" style="63" customWidth="1"/>
    <col min="7132" max="7132" width="11.7109375" style="63" customWidth="1"/>
    <col min="7133" max="7380" width="9.140625" style="63"/>
    <col min="7381" max="7381" width="5.5703125" style="63" customWidth="1"/>
    <col min="7382" max="7382" width="24.140625" style="63" customWidth="1"/>
    <col min="7383" max="7383" width="81.42578125" style="63" customWidth="1"/>
    <col min="7384" max="7386" width="3.7109375" style="63" customWidth="1"/>
    <col min="7387" max="7387" width="10.85546875" style="63" customWidth="1"/>
    <col min="7388" max="7388" width="11.7109375" style="63" customWidth="1"/>
    <col min="7389" max="7636" width="9.140625" style="63"/>
    <col min="7637" max="7637" width="5.5703125" style="63" customWidth="1"/>
    <col min="7638" max="7638" width="24.140625" style="63" customWidth="1"/>
    <col min="7639" max="7639" width="81.42578125" style="63" customWidth="1"/>
    <col min="7640" max="7642" width="3.7109375" style="63" customWidth="1"/>
    <col min="7643" max="7643" width="10.85546875" style="63" customWidth="1"/>
    <col min="7644" max="7644" width="11.7109375" style="63" customWidth="1"/>
    <col min="7645" max="7892" width="9.140625" style="63"/>
    <col min="7893" max="7893" width="5.5703125" style="63" customWidth="1"/>
    <col min="7894" max="7894" width="24.140625" style="63" customWidth="1"/>
    <col min="7895" max="7895" width="81.42578125" style="63" customWidth="1"/>
    <col min="7896" max="7898" width="3.7109375" style="63" customWidth="1"/>
    <col min="7899" max="7899" width="10.85546875" style="63" customWidth="1"/>
    <col min="7900" max="7900" width="11.7109375" style="63" customWidth="1"/>
    <col min="7901" max="8148" width="9.140625" style="63"/>
    <col min="8149" max="8149" width="5.5703125" style="63" customWidth="1"/>
    <col min="8150" max="8150" width="24.140625" style="63" customWidth="1"/>
    <col min="8151" max="8151" width="81.42578125" style="63" customWidth="1"/>
    <col min="8152" max="8154" width="3.7109375" style="63" customWidth="1"/>
    <col min="8155" max="8155" width="10.85546875" style="63" customWidth="1"/>
    <col min="8156" max="8156" width="11.7109375" style="63" customWidth="1"/>
    <col min="8157" max="8404" width="9.140625" style="63"/>
    <col min="8405" max="8405" width="5.5703125" style="63" customWidth="1"/>
    <col min="8406" max="8406" width="24.140625" style="63" customWidth="1"/>
    <col min="8407" max="8407" width="81.42578125" style="63" customWidth="1"/>
    <col min="8408" max="8410" width="3.7109375" style="63" customWidth="1"/>
    <col min="8411" max="8411" width="10.85546875" style="63" customWidth="1"/>
    <col min="8412" max="8412" width="11.7109375" style="63" customWidth="1"/>
    <col min="8413" max="8660" width="9.140625" style="63"/>
    <col min="8661" max="8661" width="5.5703125" style="63" customWidth="1"/>
    <col min="8662" max="8662" width="24.140625" style="63" customWidth="1"/>
    <col min="8663" max="8663" width="81.42578125" style="63" customWidth="1"/>
    <col min="8664" max="8666" width="3.7109375" style="63" customWidth="1"/>
    <col min="8667" max="8667" width="10.85546875" style="63" customWidth="1"/>
    <col min="8668" max="8668" width="11.7109375" style="63" customWidth="1"/>
    <col min="8669" max="8916" width="9.140625" style="63"/>
    <col min="8917" max="8917" width="5.5703125" style="63" customWidth="1"/>
    <col min="8918" max="8918" width="24.140625" style="63" customWidth="1"/>
    <col min="8919" max="8919" width="81.42578125" style="63" customWidth="1"/>
    <col min="8920" max="8922" width="3.7109375" style="63" customWidth="1"/>
    <col min="8923" max="8923" width="10.85546875" style="63" customWidth="1"/>
    <col min="8924" max="8924" width="11.7109375" style="63" customWidth="1"/>
    <col min="8925" max="9172" width="9.140625" style="63"/>
    <col min="9173" max="9173" width="5.5703125" style="63" customWidth="1"/>
    <col min="9174" max="9174" width="24.140625" style="63" customWidth="1"/>
    <col min="9175" max="9175" width="81.42578125" style="63" customWidth="1"/>
    <col min="9176" max="9178" width="3.7109375" style="63" customWidth="1"/>
    <col min="9179" max="9179" width="10.85546875" style="63" customWidth="1"/>
    <col min="9180" max="9180" width="11.7109375" style="63" customWidth="1"/>
    <col min="9181" max="9428" width="9.140625" style="63"/>
    <col min="9429" max="9429" width="5.5703125" style="63" customWidth="1"/>
    <col min="9430" max="9430" width="24.140625" style="63" customWidth="1"/>
    <col min="9431" max="9431" width="81.42578125" style="63" customWidth="1"/>
    <col min="9432" max="9434" width="3.7109375" style="63" customWidth="1"/>
    <col min="9435" max="9435" width="10.85546875" style="63" customWidth="1"/>
    <col min="9436" max="9436" width="11.7109375" style="63" customWidth="1"/>
    <col min="9437" max="9684" width="9.140625" style="63"/>
    <col min="9685" max="9685" width="5.5703125" style="63" customWidth="1"/>
    <col min="9686" max="9686" width="24.140625" style="63" customWidth="1"/>
    <col min="9687" max="9687" width="81.42578125" style="63" customWidth="1"/>
    <col min="9688" max="9690" width="3.7109375" style="63" customWidth="1"/>
    <col min="9691" max="9691" width="10.85546875" style="63" customWidth="1"/>
    <col min="9692" max="9692" width="11.7109375" style="63" customWidth="1"/>
    <col min="9693" max="9940" width="9.140625" style="63"/>
    <col min="9941" max="9941" width="5.5703125" style="63" customWidth="1"/>
    <col min="9942" max="9942" width="24.140625" style="63" customWidth="1"/>
    <col min="9943" max="9943" width="81.42578125" style="63" customWidth="1"/>
    <col min="9944" max="9946" width="3.7109375" style="63" customWidth="1"/>
    <col min="9947" max="9947" width="10.85546875" style="63" customWidth="1"/>
    <col min="9948" max="9948" width="11.7109375" style="63" customWidth="1"/>
    <col min="9949" max="10196" width="9.140625" style="63"/>
    <col min="10197" max="10197" width="5.5703125" style="63" customWidth="1"/>
    <col min="10198" max="10198" width="24.140625" style="63" customWidth="1"/>
    <col min="10199" max="10199" width="81.42578125" style="63" customWidth="1"/>
    <col min="10200" max="10202" width="3.7109375" style="63" customWidth="1"/>
    <col min="10203" max="10203" width="10.85546875" style="63" customWidth="1"/>
    <col min="10204" max="10204" width="11.7109375" style="63" customWidth="1"/>
    <col min="10205" max="10452" width="9.140625" style="63"/>
    <col min="10453" max="10453" width="5.5703125" style="63" customWidth="1"/>
    <col min="10454" max="10454" width="24.140625" style="63" customWidth="1"/>
    <col min="10455" max="10455" width="81.42578125" style="63" customWidth="1"/>
    <col min="10456" max="10458" width="3.7109375" style="63" customWidth="1"/>
    <col min="10459" max="10459" width="10.85546875" style="63" customWidth="1"/>
    <col min="10460" max="10460" width="11.7109375" style="63" customWidth="1"/>
    <col min="10461" max="10708" width="9.140625" style="63"/>
    <col min="10709" max="10709" width="5.5703125" style="63" customWidth="1"/>
    <col min="10710" max="10710" width="24.140625" style="63" customWidth="1"/>
    <col min="10711" max="10711" width="81.42578125" style="63" customWidth="1"/>
    <col min="10712" max="10714" width="3.7109375" style="63" customWidth="1"/>
    <col min="10715" max="10715" width="10.85546875" style="63" customWidth="1"/>
    <col min="10716" max="10716" width="11.7109375" style="63" customWidth="1"/>
    <col min="10717" max="10964" width="9.140625" style="63"/>
    <col min="10965" max="10965" width="5.5703125" style="63" customWidth="1"/>
    <col min="10966" max="10966" width="24.140625" style="63" customWidth="1"/>
    <col min="10967" max="10967" width="81.42578125" style="63" customWidth="1"/>
    <col min="10968" max="10970" width="3.7109375" style="63" customWidth="1"/>
    <col min="10971" max="10971" width="10.85546875" style="63" customWidth="1"/>
    <col min="10972" max="10972" width="11.7109375" style="63" customWidth="1"/>
    <col min="10973" max="11220" width="9.140625" style="63"/>
    <col min="11221" max="11221" width="5.5703125" style="63" customWidth="1"/>
    <col min="11222" max="11222" width="24.140625" style="63" customWidth="1"/>
    <col min="11223" max="11223" width="81.42578125" style="63" customWidth="1"/>
    <col min="11224" max="11226" width="3.7109375" style="63" customWidth="1"/>
    <col min="11227" max="11227" width="10.85546875" style="63" customWidth="1"/>
    <col min="11228" max="11228" width="11.7109375" style="63" customWidth="1"/>
    <col min="11229" max="11476" width="9.140625" style="63"/>
    <col min="11477" max="11477" width="5.5703125" style="63" customWidth="1"/>
    <col min="11478" max="11478" width="24.140625" style="63" customWidth="1"/>
    <col min="11479" max="11479" width="81.42578125" style="63" customWidth="1"/>
    <col min="11480" max="11482" width="3.7109375" style="63" customWidth="1"/>
    <col min="11483" max="11483" width="10.85546875" style="63" customWidth="1"/>
    <col min="11484" max="11484" width="11.7109375" style="63" customWidth="1"/>
    <col min="11485" max="11732" width="9.140625" style="63"/>
    <col min="11733" max="11733" width="5.5703125" style="63" customWidth="1"/>
    <col min="11734" max="11734" width="24.140625" style="63" customWidth="1"/>
    <col min="11735" max="11735" width="81.42578125" style="63" customWidth="1"/>
    <col min="11736" max="11738" width="3.7109375" style="63" customWidth="1"/>
    <col min="11739" max="11739" width="10.85546875" style="63" customWidth="1"/>
    <col min="11740" max="11740" width="11.7109375" style="63" customWidth="1"/>
    <col min="11741" max="11988" width="9.140625" style="63"/>
    <col min="11989" max="11989" width="5.5703125" style="63" customWidth="1"/>
    <col min="11990" max="11990" width="24.140625" style="63" customWidth="1"/>
    <col min="11991" max="11991" width="81.42578125" style="63" customWidth="1"/>
    <col min="11992" max="11994" width="3.7109375" style="63" customWidth="1"/>
    <col min="11995" max="11995" width="10.85546875" style="63" customWidth="1"/>
    <col min="11996" max="11996" width="11.7109375" style="63" customWidth="1"/>
    <col min="11997" max="12244" width="9.140625" style="63"/>
    <col min="12245" max="12245" width="5.5703125" style="63" customWidth="1"/>
    <col min="12246" max="12246" width="24.140625" style="63" customWidth="1"/>
    <col min="12247" max="12247" width="81.42578125" style="63" customWidth="1"/>
    <col min="12248" max="12250" width="3.7109375" style="63" customWidth="1"/>
    <col min="12251" max="12251" width="10.85546875" style="63" customWidth="1"/>
    <col min="12252" max="12252" width="11.7109375" style="63" customWidth="1"/>
    <col min="12253" max="12500" width="9.140625" style="63"/>
    <col min="12501" max="12501" width="5.5703125" style="63" customWidth="1"/>
    <col min="12502" max="12502" width="24.140625" style="63" customWidth="1"/>
    <col min="12503" max="12503" width="81.42578125" style="63" customWidth="1"/>
    <col min="12504" max="12506" width="3.7109375" style="63" customWidth="1"/>
    <col min="12507" max="12507" width="10.85546875" style="63" customWidth="1"/>
    <col min="12508" max="12508" width="11.7109375" style="63" customWidth="1"/>
    <col min="12509" max="12756" width="9.140625" style="63"/>
    <col min="12757" max="12757" width="5.5703125" style="63" customWidth="1"/>
    <col min="12758" max="12758" width="24.140625" style="63" customWidth="1"/>
    <col min="12759" max="12759" width="81.42578125" style="63" customWidth="1"/>
    <col min="12760" max="12762" width="3.7109375" style="63" customWidth="1"/>
    <col min="12763" max="12763" width="10.85546875" style="63" customWidth="1"/>
    <col min="12764" max="12764" width="11.7109375" style="63" customWidth="1"/>
    <col min="12765" max="13012" width="9.140625" style="63"/>
    <col min="13013" max="13013" width="5.5703125" style="63" customWidth="1"/>
    <col min="13014" max="13014" width="24.140625" style="63" customWidth="1"/>
    <col min="13015" max="13015" width="81.42578125" style="63" customWidth="1"/>
    <col min="13016" max="13018" width="3.7109375" style="63" customWidth="1"/>
    <col min="13019" max="13019" width="10.85546875" style="63" customWidth="1"/>
    <col min="13020" max="13020" width="11.7109375" style="63" customWidth="1"/>
    <col min="13021" max="13268" width="9.140625" style="63"/>
    <col min="13269" max="13269" width="5.5703125" style="63" customWidth="1"/>
    <col min="13270" max="13270" width="24.140625" style="63" customWidth="1"/>
    <col min="13271" max="13271" width="81.42578125" style="63" customWidth="1"/>
    <col min="13272" max="13274" width="3.7109375" style="63" customWidth="1"/>
    <col min="13275" max="13275" width="10.85546875" style="63" customWidth="1"/>
    <col min="13276" max="13276" width="11.7109375" style="63" customWidth="1"/>
    <col min="13277" max="13524" width="9.140625" style="63"/>
    <col min="13525" max="13525" width="5.5703125" style="63" customWidth="1"/>
    <col min="13526" max="13526" width="24.140625" style="63" customWidth="1"/>
    <col min="13527" max="13527" width="81.42578125" style="63" customWidth="1"/>
    <col min="13528" max="13530" width="3.7109375" style="63" customWidth="1"/>
    <col min="13531" max="13531" width="10.85546875" style="63" customWidth="1"/>
    <col min="13532" max="13532" width="11.7109375" style="63" customWidth="1"/>
    <col min="13533" max="13780" width="9.140625" style="63"/>
    <col min="13781" max="13781" width="5.5703125" style="63" customWidth="1"/>
    <col min="13782" max="13782" width="24.140625" style="63" customWidth="1"/>
    <col min="13783" max="13783" width="81.42578125" style="63" customWidth="1"/>
    <col min="13784" max="13786" width="3.7109375" style="63" customWidth="1"/>
    <col min="13787" max="13787" width="10.85546875" style="63" customWidth="1"/>
    <col min="13788" max="13788" width="11.7109375" style="63" customWidth="1"/>
    <col min="13789" max="14036" width="9.140625" style="63"/>
    <col min="14037" max="14037" width="5.5703125" style="63" customWidth="1"/>
    <col min="14038" max="14038" width="24.140625" style="63" customWidth="1"/>
    <col min="14039" max="14039" width="81.42578125" style="63" customWidth="1"/>
    <col min="14040" max="14042" width="3.7109375" style="63" customWidth="1"/>
    <col min="14043" max="14043" width="10.85546875" style="63" customWidth="1"/>
    <col min="14044" max="14044" width="11.7109375" style="63" customWidth="1"/>
    <col min="14045" max="14292" width="9.140625" style="63"/>
    <col min="14293" max="14293" width="5.5703125" style="63" customWidth="1"/>
    <col min="14294" max="14294" width="24.140625" style="63" customWidth="1"/>
    <col min="14295" max="14295" width="81.42578125" style="63" customWidth="1"/>
    <col min="14296" max="14298" width="3.7109375" style="63" customWidth="1"/>
    <col min="14299" max="14299" width="10.85546875" style="63" customWidth="1"/>
    <col min="14300" max="14300" width="11.7109375" style="63" customWidth="1"/>
    <col min="14301" max="14548" width="9.140625" style="63"/>
    <col min="14549" max="14549" width="5.5703125" style="63" customWidth="1"/>
    <col min="14550" max="14550" width="24.140625" style="63" customWidth="1"/>
    <col min="14551" max="14551" width="81.42578125" style="63" customWidth="1"/>
    <col min="14552" max="14554" width="3.7109375" style="63" customWidth="1"/>
    <col min="14555" max="14555" width="10.85546875" style="63" customWidth="1"/>
    <col min="14556" max="14556" width="11.7109375" style="63" customWidth="1"/>
    <col min="14557" max="14804" width="9.140625" style="63"/>
    <col min="14805" max="14805" width="5.5703125" style="63" customWidth="1"/>
    <col min="14806" max="14806" width="24.140625" style="63" customWidth="1"/>
    <col min="14807" max="14807" width="81.42578125" style="63" customWidth="1"/>
    <col min="14808" max="14810" width="3.7109375" style="63" customWidth="1"/>
    <col min="14811" max="14811" width="10.85546875" style="63" customWidth="1"/>
    <col min="14812" max="14812" width="11.7109375" style="63" customWidth="1"/>
    <col min="14813" max="15060" width="9.140625" style="63"/>
    <col min="15061" max="15061" width="5.5703125" style="63" customWidth="1"/>
    <col min="15062" max="15062" width="24.140625" style="63" customWidth="1"/>
    <col min="15063" max="15063" width="81.42578125" style="63" customWidth="1"/>
    <col min="15064" max="15066" width="3.7109375" style="63" customWidth="1"/>
    <col min="15067" max="15067" width="10.85546875" style="63" customWidth="1"/>
    <col min="15068" max="15068" width="11.7109375" style="63" customWidth="1"/>
    <col min="15069" max="15316" width="9.140625" style="63"/>
    <col min="15317" max="15317" width="5.5703125" style="63" customWidth="1"/>
    <col min="15318" max="15318" width="24.140625" style="63" customWidth="1"/>
    <col min="15319" max="15319" width="81.42578125" style="63" customWidth="1"/>
    <col min="15320" max="15322" width="3.7109375" style="63" customWidth="1"/>
    <col min="15323" max="15323" width="10.85546875" style="63" customWidth="1"/>
    <col min="15324" max="15324" width="11.7109375" style="63" customWidth="1"/>
    <col min="15325" max="15572" width="9.140625" style="63"/>
    <col min="15573" max="15573" width="5.5703125" style="63" customWidth="1"/>
    <col min="15574" max="15574" width="24.140625" style="63" customWidth="1"/>
    <col min="15575" max="15575" width="81.42578125" style="63" customWidth="1"/>
    <col min="15576" max="15578" width="3.7109375" style="63" customWidth="1"/>
    <col min="15579" max="15579" width="10.85546875" style="63" customWidth="1"/>
    <col min="15580" max="15580" width="11.7109375" style="63" customWidth="1"/>
    <col min="15581" max="15828" width="9.140625" style="63"/>
    <col min="15829" max="15829" width="5.5703125" style="63" customWidth="1"/>
    <col min="15830" max="15830" width="24.140625" style="63" customWidth="1"/>
    <col min="15831" max="15831" width="81.42578125" style="63" customWidth="1"/>
    <col min="15832" max="15834" width="3.7109375" style="63" customWidth="1"/>
    <col min="15835" max="15835" width="10.85546875" style="63" customWidth="1"/>
    <col min="15836" max="15836" width="11.7109375" style="63" customWidth="1"/>
    <col min="15837" max="16084" width="9.140625" style="63"/>
    <col min="16085" max="16085" width="5.5703125" style="63" customWidth="1"/>
    <col min="16086" max="16086" width="24.140625" style="63" customWidth="1"/>
    <col min="16087" max="16087" width="81.42578125" style="63" customWidth="1"/>
    <col min="16088" max="16090" width="3.7109375" style="63" customWidth="1"/>
    <col min="16091" max="16091" width="10.85546875" style="63" customWidth="1"/>
    <col min="16092" max="16092" width="11.7109375" style="63" customWidth="1"/>
    <col min="16093" max="16384" width="9.140625" style="63"/>
  </cols>
  <sheetData>
    <row r="1" spans="1:13" ht="15.95" customHeight="1" x14ac:dyDescent="0.25">
      <c r="A1" s="624" t="s">
        <v>329</v>
      </c>
      <c r="B1" s="624"/>
      <c r="C1" s="624"/>
      <c r="D1" s="624"/>
      <c r="E1" s="624"/>
      <c r="F1" s="624"/>
      <c r="G1" s="624"/>
      <c r="H1" s="624"/>
      <c r="I1" s="624"/>
      <c r="J1" s="624"/>
      <c r="K1" s="624"/>
      <c r="L1" s="624"/>
    </row>
    <row r="2" spans="1:13" ht="15.95" customHeight="1" x14ac:dyDescent="0.25">
      <c r="A2" s="788"/>
      <c r="B2" s="788"/>
      <c r="C2" s="788"/>
      <c r="D2" s="788"/>
      <c r="E2" s="788"/>
      <c r="F2" s="788"/>
      <c r="G2" s="788"/>
      <c r="H2" s="788"/>
      <c r="I2" s="788"/>
      <c r="J2" s="788"/>
      <c r="K2" s="788"/>
      <c r="L2" s="788"/>
      <c r="M2" s="160"/>
    </row>
    <row r="3" spans="1:13" ht="15.95" customHeight="1" x14ac:dyDescent="0.25">
      <c r="A3" s="622" t="s">
        <v>367</v>
      </c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</row>
    <row r="4" spans="1:13" ht="15.95" customHeight="1" x14ac:dyDescent="0.25">
      <c r="A4" s="622" t="s">
        <v>148</v>
      </c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</row>
    <row r="5" spans="1:13" ht="15.95" customHeight="1" x14ac:dyDescent="0.25">
      <c r="A5" s="622" t="s">
        <v>287</v>
      </c>
      <c r="B5" s="622"/>
      <c r="C5" s="622"/>
      <c r="D5" s="622"/>
      <c r="E5" s="622"/>
      <c r="F5" s="622"/>
      <c r="G5" s="622"/>
      <c r="H5" s="622"/>
      <c r="I5" s="622"/>
      <c r="J5" s="622"/>
      <c r="K5" s="622"/>
      <c r="L5" s="622"/>
    </row>
    <row r="6" spans="1:13" ht="15.95" customHeight="1" thickBot="1" x14ac:dyDescent="0.3">
      <c r="C6" s="787" t="s">
        <v>252</v>
      </c>
      <c r="D6" s="787"/>
      <c r="E6" s="787"/>
      <c r="F6" s="787"/>
      <c r="G6" s="787"/>
      <c r="H6" s="787"/>
      <c r="I6" s="787"/>
      <c r="J6" s="787"/>
      <c r="K6" s="787"/>
      <c r="L6" s="787"/>
    </row>
    <row r="7" spans="1:13" s="131" customFormat="1" ht="30" customHeight="1" x14ac:dyDescent="0.25">
      <c r="A7" s="798" t="s">
        <v>124</v>
      </c>
      <c r="B7" s="800" t="s">
        <v>217</v>
      </c>
      <c r="C7" s="801"/>
      <c r="D7" s="796" t="s">
        <v>331</v>
      </c>
      <c r="E7" s="789" t="s">
        <v>330</v>
      </c>
      <c r="F7" s="790"/>
      <c r="G7" s="790"/>
      <c r="H7" s="790"/>
      <c r="I7" s="790"/>
      <c r="J7" s="790"/>
      <c r="K7" s="790"/>
      <c r="L7" s="791"/>
    </row>
    <row r="8" spans="1:13" s="131" customFormat="1" ht="30" customHeight="1" thickBot="1" x14ac:dyDescent="0.3">
      <c r="A8" s="799"/>
      <c r="B8" s="417" t="s">
        <v>221</v>
      </c>
      <c r="C8" s="348" t="s">
        <v>218</v>
      </c>
      <c r="D8" s="797"/>
      <c r="E8" s="418" t="s">
        <v>138</v>
      </c>
      <c r="F8" s="419" t="s">
        <v>143</v>
      </c>
      <c r="G8" s="419" t="s">
        <v>144</v>
      </c>
      <c r="H8" s="419" t="s">
        <v>145</v>
      </c>
      <c r="I8" s="420" t="s">
        <v>150</v>
      </c>
      <c r="J8" s="418" t="s">
        <v>146</v>
      </c>
      <c r="K8" s="421" t="s">
        <v>237</v>
      </c>
      <c r="L8" s="422" t="s">
        <v>105</v>
      </c>
    </row>
    <row r="9" spans="1:13" s="4" customFormat="1" ht="15" customHeight="1" x14ac:dyDescent="0.25">
      <c r="A9" s="792" t="s">
        <v>368</v>
      </c>
      <c r="B9" s="793"/>
      <c r="C9" s="794"/>
      <c r="D9" s="794"/>
      <c r="E9" s="794"/>
      <c r="F9" s="794"/>
      <c r="G9" s="794"/>
      <c r="H9" s="794"/>
      <c r="I9" s="794"/>
      <c r="J9" s="794"/>
      <c r="K9" s="794"/>
      <c r="L9" s="795"/>
    </row>
    <row r="10" spans="1:13" s="4" customFormat="1" ht="15" customHeight="1" x14ac:dyDescent="0.25">
      <c r="A10" s="785" t="s">
        <v>1</v>
      </c>
      <c r="B10" s="802" t="s">
        <v>219</v>
      </c>
      <c r="C10" s="784">
        <v>211162</v>
      </c>
      <c r="D10" s="784">
        <v>211162</v>
      </c>
      <c r="E10" s="135" t="s">
        <v>140</v>
      </c>
      <c r="F10" s="142">
        <v>0</v>
      </c>
      <c r="G10" s="142">
        <v>0</v>
      </c>
      <c r="H10" s="142">
        <v>211162</v>
      </c>
      <c r="I10" s="142">
        <v>0</v>
      </c>
      <c r="J10" s="142">
        <v>0</v>
      </c>
      <c r="K10" s="155">
        <v>0</v>
      </c>
      <c r="L10" s="139">
        <f>SUM(F10:K10)</f>
        <v>211162</v>
      </c>
    </row>
    <row r="11" spans="1:13" s="4" customFormat="1" ht="15" customHeight="1" x14ac:dyDescent="0.25">
      <c r="A11" s="752"/>
      <c r="B11" s="772"/>
      <c r="C11" s="758"/>
      <c r="D11" s="758"/>
      <c r="E11" s="132" t="s">
        <v>141</v>
      </c>
      <c r="F11" s="138">
        <v>0</v>
      </c>
      <c r="G11" s="138">
        <v>0</v>
      </c>
      <c r="H11" s="138">
        <v>0</v>
      </c>
      <c r="I11" s="138">
        <v>0</v>
      </c>
      <c r="J11" s="138">
        <v>0</v>
      </c>
      <c r="K11" s="156">
        <v>0</v>
      </c>
      <c r="L11" s="143">
        <f>SUM(F11:K11)</f>
        <v>0</v>
      </c>
    </row>
    <row r="12" spans="1:13" s="4" customFormat="1" ht="15" customHeight="1" thickBot="1" x14ac:dyDescent="0.3">
      <c r="A12" s="753"/>
      <c r="B12" s="773"/>
      <c r="C12" s="759"/>
      <c r="D12" s="759"/>
      <c r="E12" s="144" t="s">
        <v>105</v>
      </c>
      <c r="F12" s="145">
        <f>SUM(F10:F11)</f>
        <v>0</v>
      </c>
      <c r="G12" s="145">
        <f t="shared" ref="G12:L12" si="0">SUM(G10:G11)</f>
        <v>0</v>
      </c>
      <c r="H12" s="145">
        <f t="shared" si="0"/>
        <v>211162</v>
      </c>
      <c r="I12" s="145">
        <f t="shared" si="0"/>
        <v>0</v>
      </c>
      <c r="J12" s="145">
        <f t="shared" si="0"/>
        <v>0</v>
      </c>
      <c r="K12" s="145">
        <f t="shared" si="0"/>
        <v>0</v>
      </c>
      <c r="L12" s="146">
        <f t="shared" si="0"/>
        <v>211162</v>
      </c>
    </row>
    <row r="13" spans="1:13" s="4" customFormat="1" ht="15" customHeight="1" x14ac:dyDescent="0.25">
      <c r="A13" s="751" t="s">
        <v>2</v>
      </c>
      <c r="B13" s="771" t="s">
        <v>220</v>
      </c>
      <c r="C13" s="757">
        <v>285305</v>
      </c>
      <c r="D13" s="757">
        <v>285305</v>
      </c>
      <c r="E13" s="133" t="s">
        <v>140</v>
      </c>
      <c r="F13" s="136">
        <v>0</v>
      </c>
      <c r="G13" s="136">
        <v>0</v>
      </c>
      <c r="H13" s="136">
        <v>285305</v>
      </c>
      <c r="I13" s="136">
        <v>0</v>
      </c>
      <c r="J13" s="136">
        <v>0</v>
      </c>
      <c r="K13" s="157">
        <v>0</v>
      </c>
      <c r="L13" s="137">
        <f>SUM(F13:K13)</f>
        <v>285305</v>
      </c>
    </row>
    <row r="14" spans="1:13" s="4" customFormat="1" ht="15" customHeight="1" x14ac:dyDescent="0.25">
      <c r="A14" s="752"/>
      <c r="B14" s="772"/>
      <c r="C14" s="758"/>
      <c r="D14" s="758"/>
      <c r="E14" s="132" t="s">
        <v>141</v>
      </c>
      <c r="F14" s="138">
        <v>0</v>
      </c>
      <c r="G14" s="138">
        <v>0</v>
      </c>
      <c r="H14" s="138">
        <v>0</v>
      </c>
      <c r="I14" s="138">
        <v>0</v>
      </c>
      <c r="J14" s="138">
        <v>0</v>
      </c>
      <c r="K14" s="156">
        <v>0</v>
      </c>
      <c r="L14" s="143">
        <f>SUM(F14:K14)</f>
        <v>0</v>
      </c>
    </row>
    <row r="15" spans="1:13" s="4" customFormat="1" ht="15" customHeight="1" thickBot="1" x14ac:dyDescent="0.3">
      <c r="A15" s="753"/>
      <c r="B15" s="773"/>
      <c r="C15" s="759"/>
      <c r="D15" s="759"/>
      <c r="E15" s="134" t="s">
        <v>105</v>
      </c>
      <c r="F15" s="140">
        <f>SUM(F13:F14)</f>
        <v>0</v>
      </c>
      <c r="G15" s="140">
        <f t="shared" ref="G15" si="1">SUM(G13:G14)</f>
        <v>0</v>
      </c>
      <c r="H15" s="140">
        <f t="shared" ref="H15" si="2">SUM(H13:H14)</f>
        <v>285305</v>
      </c>
      <c r="I15" s="140">
        <f t="shared" ref="I15" si="3">SUM(I13:I14)</f>
        <v>0</v>
      </c>
      <c r="J15" s="140">
        <f t="shared" ref="J15:K15" si="4">SUM(J13:J14)</f>
        <v>0</v>
      </c>
      <c r="K15" s="140">
        <f t="shared" si="4"/>
        <v>0</v>
      </c>
      <c r="L15" s="141">
        <f t="shared" ref="L15" si="5">SUM(L13:L14)</f>
        <v>285305</v>
      </c>
    </row>
    <row r="16" spans="1:13" s="4" customFormat="1" ht="15" customHeight="1" x14ac:dyDescent="0.25">
      <c r="A16" s="751" t="s">
        <v>4</v>
      </c>
      <c r="B16" s="771" t="s">
        <v>332</v>
      </c>
      <c r="C16" s="758">
        <v>4398182</v>
      </c>
      <c r="D16" s="758">
        <v>4398182</v>
      </c>
      <c r="E16" s="135" t="s">
        <v>140</v>
      </c>
      <c r="F16" s="142">
        <v>331122</v>
      </c>
      <c r="G16" s="142">
        <v>0</v>
      </c>
      <c r="H16" s="142">
        <v>4067060</v>
      </c>
      <c r="I16" s="142">
        <v>0</v>
      </c>
      <c r="J16" s="142">
        <v>0</v>
      </c>
      <c r="K16" s="157">
        <v>0</v>
      </c>
      <c r="L16" s="139">
        <f>SUM(F16:K16)</f>
        <v>4398182</v>
      </c>
      <c r="M16" s="8"/>
    </row>
    <row r="17" spans="1:20" s="4" customFormat="1" ht="15" customHeight="1" x14ac:dyDescent="0.25">
      <c r="A17" s="752"/>
      <c r="B17" s="772"/>
      <c r="C17" s="758"/>
      <c r="D17" s="758"/>
      <c r="E17" s="132" t="s">
        <v>141</v>
      </c>
      <c r="F17" s="138">
        <v>0</v>
      </c>
      <c r="G17" s="138">
        <v>0</v>
      </c>
      <c r="H17" s="138">
        <v>0</v>
      </c>
      <c r="I17" s="138">
        <v>0</v>
      </c>
      <c r="J17" s="138">
        <v>0</v>
      </c>
      <c r="K17" s="156">
        <v>0</v>
      </c>
      <c r="L17" s="139">
        <f>SUM(F17:K17)</f>
        <v>0</v>
      </c>
    </row>
    <row r="18" spans="1:20" s="4" customFormat="1" ht="15" customHeight="1" thickBot="1" x14ac:dyDescent="0.3">
      <c r="A18" s="753"/>
      <c r="B18" s="773"/>
      <c r="C18" s="759"/>
      <c r="D18" s="759"/>
      <c r="E18" s="134" t="s">
        <v>105</v>
      </c>
      <c r="F18" s="140">
        <f>SUM(F16:F17)</f>
        <v>331122</v>
      </c>
      <c r="G18" s="140">
        <f t="shared" ref="G18" si="6">SUM(G16:G17)</f>
        <v>0</v>
      </c>
      <c r="H18" s="140">
        <f t="shared" ref="H18" si="7">SUM(H16:H17)</f>
        <v>4067060</v>
      </c>
      <c r="I18" s="140">
        <f t="shared" ref="I18" si="8">SUM(I16:I17)</f>
        <v>0</v>
      </c>
      <c r="J18" s="140">
        <f t="shared" ref="J18:K18" si="9">SUM(J16:J17)</f>
        <v>0</v>
      </c>
      <c r="K18" s="140">
        <f t="shared" si="9"/>
        <v>0</v>
      </c>
      <c r="L18" s="141">
        <f t="shared" ref="L18" si="10">SUM(L16:L17)</f>
        <v>4398182</v>
      </c>
    </row>
    <row r="19" spans="1:20" s="4" customFormat="1" ht="15" customHeight="1" x14ac:dyDescent="0.25">
      <c r="A19" s="751" t="s">
        <v>5</v>
      </c>
      <c r="B19" s="765" t="s">
        <v>222</v>
      </c>
      <c r="C19" s="757">
        <v>41321847</v>
      </c>
      <c r="D19" s="757">
        <v>41321847</v>
      </c>
      <c r="E19" s="133" t="s">
        <v>140</v>
      </c>
      <c r="F19" s="136">
        <v>350000</v>
      </c>
      <c r="G19" s="136">
        <v>45500</v>
      </c>
      <c r="H19" s="136">
        <v>20945543</v>
      </c>
      <c r="I19" s="136">
        <v>0</v>
      </c>
      <c r="J19" s="136">
        <v>15995670</v>
      </c>
      <c r="K19" s="157">
        <v>0</v>
      </c>
      <c r="L19" s="137">
        <f>SUM(F19:K19)</f>
        <v>37336713</v>
      </c>
    </row>
    <row r="20" spans="1:20" s="4" customFormat="1" ht="15" customHeight="1" x14ac:dyDescent="0.25">
      <c r="A20" s="752"/>
      <c r="B20" s="766"/>
      <c r="C20" s="758"/>
      <c r="D20" s="758"/>
      <c r="E20" s="132" t="s">
        <v>141</v>
      </c>
      <c r="F20" s="138">
        <v>3526667</v>
      </c>
      <c r="G20" s="138">
        <v>458467</v>
      </c>
      <c r="H20" s="138">
        <v>0</v>
      </c>
      <c r="I20" s="138">
        <v>0</v>
      </c>
      <c r="J20" s="138">
        <v>0</v>
      </c>
      <c r="K20" s="156">
        <v>0</v>
      </c>
      <c r="L20" s="139">
        <f>SUM(F20:K20)</f>
        <v>3985134</v>
      </c>
    </row>
    <row r="21" spans="1:20" s="4" customFormat="1" ht="15" customHeight="1" thickBot="1" x14ac:dyDescent="0.3">
      <c r="A21" s="753"/>
      <c r="B21" s="767"/>
      <c r="C21" s="759"/>
      <c r="D21" s="759"/>
      <c r="E21" s="134" t="s">
        <v>105</v>
      </c>
      <c r="F21" s="140">
        <f>SUM(F19:F20)</f>
        <v>3876667</v>
      </c>
      <c r="G21" s="140">
        <f t="shared" ref="G21" si="11">SUM(G19:G20)</f>
        <v>503967</v>
      </c>
      <c r="H21" s="140">
        <f t="shared" ref="H21" si="12">SUM(H19:H20)</f>
        <v>20945543</v>
      </c>
      <c r="I21" s="140">
        <f t="shared" ref="I21" si="13">SUM(I19:I20)</f>
        <v>0</v>
      </c>
      <c r="J21" s="140">
        <f t="shared" ref="J21:K21" si="14">SUM(J19:J20)</f>
        <v>15995670</v>
      </c>
      <c r="K21" s="140">
        <f t="shared" si="14"/>
        <v>0</v>
      </c>
      <c r="L21" s="141">
        <f t="shared" ref="L21" si="15">SUM(L19:L20)</f>
        <v>41321847</v>
      </c>
    </row>
    <row r="22" spans="1:20" s="4" customFormat="1" ht="15" customHeight="1" x14ac:dyDescent="0.25">
      <c r="A22" s="751" t="s">
        <v>7</v>
      </c>
      <c r="B22" s="765" t="s">
        <v>223</v>
      </c>
      <c r="C22" s="757">
        <v>160072642</v>
      </c>
      <c r="D22" s="757">
        <v>160072642</v>
      </c>
      <c r="E22" s="133" t="s">
        <v>140</v>
      </c>
      <c r="F22" s="136">
        <v>30000000</v>
      </c>
      <c r="G22" s="136">
        <v>0</v>
      </c>
      <c r="H22" s="136">
        <v>130072642</v>
      </c>
      <c r="I22" s="136">
        <v>0</v>
      </c>
      <c r="J22" s="136">
        <v>0</v>
      </c>
      <c r="K22" s="157">
        <v>0</v>
      </c>
      <c r="L22" s="137">
        <f>SUM(F22:K22)</f>
        <v>160072642</v>
      </c>
      <c r="N22" s="8"/>
    </row>
    <row r="23" spans="1:20" s="4" customFormat="1" ht="15" customHeight="1" x14ac:dyDescent="0.25">
      <c r="A23" s="752"/>
      <c r="B23" s="766"/>
      <c r="C23" s="758"/>
      <c r="D23" s="758"/>
      <c r="E23" s="132" t="s">
        <v>141</v>
      </c>
      <c r="F23" s="138">
        <v>0</v>
      </c>
      <c r="G23" s="138">
        <v>0</v>
      </c>
      <c r="H23" s="138">
        <v>0</v>
      </c>
      <c r="I23" s="138">
        <v>0</v>
      </c>
      <c r="J23" s="138">
        <v>0</v>
      </c>
      <c r="K23" s="156">
        <v>0</v>
      </c>
      <c r="L23" s="139">
        <f>SUM(F23:K23)</f>
        <v>0</v>
      </c>
    </row>
    <row r="24" spans="1:20" s="4" customFormat="1" ht="15" customHeight="1" thickBot="1" x14ac:dyDescent="0.3">
      <c r="A24" s="753"/>
      <c r="B24" s="767"/>
      <c r="C24" s="759"/>
      <c r="D24" s="759"/>
      <c r="E24" s="134" t="s">
        <v>105</v>
      </c>
      <c r="F24" s="140">
        <f>SUM(F22:F23)</f>
        <v>30000000</v>
      </c>
      <c r="G24" s="140">
        <f t="shared" ref="G24" si="16">SUM(G22:G23)</f>
        <v>0</v>
      </c>
      <c r="H24" s="140">
        <f t="shared" ref="H24" si="17">SUM(H22:H23)</f>
        <v>130072642</v>
      </c>
      <c r="I24" s="140">
        <f t="shared" ref="I24" si="18">SUM(I22:I23)</f>
        <v>0</v>
      </c>
      <c r="J24" s="140">
        <f t="shared" ref="J24:K24" si="19">SUM(J22:J23)</f>
        <v>0</v>
      </c>
      <c r="K24" s="140">
        <f t="shared" si="19"/>
        <v>0</v>
      </c>
      <c r="L24" s="141">
        <f t="shared" ref="L24" si="20">SUM(L22:L23)</f>
        <v>160072642</v>
      </c>
    </row>
    <row r="25" spans="1:20" s="4" customFormat="1" ht="15" customHeight="1" x14ac:dyDescent="0.25">
      <c r="A25" s="751" t="s">
        <v>27</v>
      </c>
      <c r="B25" s="648" t="s">
        <v>273</v>
      </c>
      <c r="C25" s="757">
        <v>46831173</v>
      </c>
      <c r="D25" s="757">
        <v>46831173</v>
      </c>
      <c r="E25" s="133" t="s">
        <v>140</v>
      </c>
      <c r="F25" s="136">
        <v>0</v>
      </c>
      <c r="G25" s="136">
        <v>0</v>
      </c>
      <c r="H25" s="136">
        <v>11951773</v>
      </c>
      <c r="I25" s="136">
        <v>0</v>
      </c>
      <c r="J25" s="136">
        <v>34879400</v>
      </c>
      <c r="K25" s="157">
        <v>0</v>
      </c>
      <c r="L25" s="137">
        <f>SUM(F25:J25)</f>
        <v>46831173</v>
      </c>
      <c r="M25" s="749"/>
      <c r="N25" s="750"/>
      <c r="O25" s="750"/>
      <c r="P25" s="750"/>
      <c r="Q25" s="750"/>
      <c r="T25" s="8"/>
    </row>
    <row r="26" spans="1:20" s="91" customFormat="1" ht="15" customHeight="1" x14ac:dyDescent="0.25">
      <c r="A26" s="752"/>
      <c r="B26" s="646"/>
      <c r="C26" s="758"/>
      <c r="D26" s="758"/>
      <c r="E26" s="132" t="s">
        <v>141</v>
      </c>
      <c r="F26" s="138">
        <v>0</v>
      </c>
      <c r="G26" s="138">
        <v>0</v>
      </c>
      <c r="H26" s="138">
        <v>0</v>
      </c>
      <c r="I26" s="138">
        <v>0</v>
      </c>
      <c r="J26" s="138">
        <v>0</v>
      </c>
      <c r="K26" s="156">
        <v>0</v>
      </c>
      <c r="L26" s="139">
        <f>SUM(F26:J26)</f>
        <v>0</v>
      </c>
      <c r="M26" s="749"/>
      <c r="N26" s="750"/>
      <c r="O26" s="750"/>
      <c r="P26" s="750"/>
      <c r="Q26" s="750"/>
    </row>
    <row r="27" spans="1:20" s="91" customFormat="1" ht="15" customHeight="1" thickBot="1" x14ac:dyDescent="0.3">
      <c r="A27" s="753"/>
      <c r="B27" s="647"/>
      <c r="C27" s="759"/>
      <c r="D27" s="759"/>
      <c r="E27" s="134" t="s">
        <v>105</v>
      </c>
      <c r="F27" s="140">
        <f>SUM(F25:F26)</f>
        <v>0</v>
      </c>
      <c r="G27" s="140">
        <f t="shared" ref="G27" si="21">SUM(G25:G26)</f>
        <v>0</v>
      </c>
      <c r="H27" s="140">
        <f t="shared" ref="H27" si="22">SUM(H25:H26)</f>
        <v>11951773</v>
      </c>
      <c r="I27" s="140">
        <f t="shared" ref="I27" si="23">SUM(I25:I26)</f>
        <v>0</v>
      </c>
      <c r="J27" s="140">
        <f t="shared" ref="J27:K27" si="24">SUM(J25:J26)</f>
        <v>34879400</v>
      </c>
      <c r="K27" s="140">
        <f t="shared" si="24"/>
        <v>0</v>
      </c>
      <c r="L27" s="141">
        <f t="shared" ref="L27" si="25">SUM(L25:L26)</f>
        <v>46831173</v>
      </c>
    </row>
    <row r="28" spans="1:20" s="91" customFormat="1" ht="15" customHeight="1" x14ac:dyDescent="0.25">
      <c r="A28" s="751" t="s">
        <v>81</v>
      </c>
      <c r="B28" s="765" t="s">
        <v>333</v>
      </c>
      <c r="C28" s="757">
        <v>132800557</v>
      </c>
      <c r="D28" s="757">
        <v>132800557</v>
      </c>
      <c r="E28" s="133" t="s">
        <v>140</v>
      </c>
      <c r="F28" s="136">
        <v>6803150</v>
      </c>
      <c r="G28" s="136">
        <v>260000</v>
      </c>
      <c r="H28" s="136">
        <v>57354199</v>
      </c>
      <c r="I28" s="136">
        <v>30000000</v>
      </c>
      <c r="J28" s="136">
        <v>27483222</v>
      </c>
      <c r="K28" s="157">
        <v>0</v>
      </c>
      <c r="L28" s="137">
        <f>SUM(F28:J28)</f>
        <v>121900571</v>
      </c>
    </row>
    <row r="29" spans="1:20" s="91" customFormat="1" ht="15" customHeight="1" x14ac:dyDescent="0.25">
      <c r="A29" s="752"/>
      <c r="B29" s="766"/>
      <c r="C29" s="758"/>
      <c r="D29" s="758"/>
      <c r="E29" s="132" t="s">
        <v>141</v>
      </c>
      <c r="F29" s="138">
        <v>9097333</v>
      </c>
      <c r="G29" s="138">
        <v>1202653</v>
      </c>
      <c r="H29" s="138">
        <v>600000</v>
      </c>
      <c r="I29" s="138">
        <v>0</v>
      </c>
      <c r="J29" s="138">
        <v>0</v>
      </c>
      <c r="K29" s="156">
        <v>0</v>
      </c>
      <c r="L29" s="139">
        <f>SUM(F29:J29)</f>
        <v>10899986</v>
      </c>
    </row>
    <row r="30" spans="1:20" s="91" customFormat="1" ht="15" customHeight="1" thickBot="1" x14ac:dyDescent="0.3">
      <c r="A30" s="753"/>
      <c r="B30" s="767"/>
      <c r="C30" s="759"/>
      <c r="D30" s="759"/>
      <c r="E30" s="134" t="s">
        <v>105</v>
      </c>
      <c r="F30" s="140">
        <f>SUM(F28:F29)</f>
        <v>15900483</v>
      </c>
      <c r="G30" s="140">
        <f t="shared" ref="G30" si="26">SUM(G28:G29)</f>
        <v>1462653</v>
      </c>
      <c r="H30" s="140">
        <f t="shared" ref="H30" si="27">SUM(H28:H29)</f>
        <v>57954199</v>
      </c>
      <c r="I30" s="140">
        <f t="shared" ref="I30" si="28">SUM(I28:I29)</f>
        <v>30000000</v>
      </c>
      <c r="J30" s="140">
        <f t="shared" ref="J30:K30" si="29">SUM(J28:J29)</f>
        <v>27483222</v>
      </c>
      <c r="K30" s="140">
        <f t="shared" si="29"/>
        <v>0</v>
      </c>
      <c r="L30" s="141">
        <f t="shared" ref="L30" si="30">SUM(L28:L29)</f>
        <v>132800557</v>
      </c>
      <c r="M30" s="162"/>
    </row>
    <row r="31" spans="1:20" s="91" customFormat="1" ht="15" customHeight="1" x14ac:dyDescent="0.25">
      <c r="A31" s="751" t="s">
        <v>82</v>
      </c>
      <c r="B31" s="765" t="s">
        <v>334</v>
      </c>
      <c r="C31" s="757">
        <v>74996893</v>
      </c>
      <c r="D31" s="757">
        <v>74996893</v>
      </c>
      <c r="E31" s="133" t="s">
        <v>140</v>
      </c>
      <c r="F31" s="136">
        <v>1000000</v>
      </c>
      <c r="G31" s="136">
        <v>250000</v>
      </c>
      <c r="H31" s="136">
        <v>36073888</v>
      </c>
      <c r="I31" s="136">
        <v>0</v>
      </c>
      <c r="J31" s="136">
        <v>26230600</v>
      </c>
      <c r="K31" s="157">
        <v>0</v>
      </c>
      <c r="L31" s="137">
        <f>SUM(F31:J31)</f>
        <v>63554488</v>
      </c>
    </row>
    <row r="32" spans="1:20" s="91" customFormat="1" ht="15" customHeight="1" x14ac:dyDescent="0.25">
      <c r="A32" s="752"/>
      <c r="B32" s="766"/>
      <c r="C32" s="758"/>
      <c r="D32" s="758"/>
      <c r="E32" s="132" t="s">
        <v>141</v>
      </c>
      <c r="F32" s="138">
        <v>9598588</v>
      </c>
      <c r="G32" s="138">
        <v>1343817</v>
      </c>
      <c r="H32" s="138">
        <v>500000</v>
      </c>
      <c r="I32" s="138">
        <v>0</v>
      </c>
      <c r="J32" s="138">
        <v>0</v>
      </c>
      <c r="K32" s="156">
        <v>0</v>
      </c>
      <c r="L32" s="139">
        <f>SUM(F32:J32)</f>
        <v>11442405</v>
      </c>
    </row>
    <row r="33" spans="1:13" s="91" customFormat="1" ht="15" customHeight="1" thickBot="1" x14ac:dyDescent="0.3">
      <c r="A33" s="753"/>
      <c r="B33" s="767"/>
      <c r="C33" s="759"/>
      <c r="D33" s="759"/>
      <c r="E33" s="134" t="s">
        <v>105</v>
      </c>
      <c r="F33" s="140">
        <f>SUM(F31:F32)</f>
        <v>10598588</v>
      </c>
      <c r="G33" s="140">
        <f t="shared" ref="G33" si="31">SUM(G31:G32)</f>
        <v>1593817</v>
      </c>
      <c r="H33" s="140">
        <f t="shared" ref="H33" si="32">SUM(H31:H32)</f>
        <v>36573888</v>
      </c>
      <c r="I33" s="140">
        <f t="shared" ref="I33" si="33">SUM(I31:I32)</f>
        <v>0</v>
      </c>
      <c r="J33" s="140">
        <f t="shared" ref="J33:K33" si="34">SUM(J31:J32)</f>
        <v>26230600</v>
      </c>
      <c r="K33" s="140">
        <f t="shared" si="34"/>
        <v>0</v>
      </c>
      <c r="L33" s="141">
        <f t="shared" ref="L33" si="35">SUM(L31:L32)</f>
        <v>74996893</v>
      </c>
    </row>
    <row r="34" spans="1:13" s="91" customFormat="1" ht="15" customHeight="1" x14ac:dyDescent="0.25">
      <c r="A34" s="751" t="s">
        <v>93</v>
      </c>
      <c r="B34" s="765" t="s">
        <v>224</v>
      </c>
      <c r="C34" s="757">
        <v>216635</v>
      </c>
      <c r="D34" s="757">
        <v>216635</v>
      </c>
      <c r="E34" s="133" t="s">
        <v>140</v>
      </c>
      <c r="F34" s="136">
        <v>0</v>
      </c>
      <c r="G34" s="136">
        <v>0</v>
      </c>
      <c r="H34" s="136">
        <v>0</v>
      </c>
      <c r="I34" s="136">
        <v>116794</v>
      </c>
      <c r="J34" s="136">
        <v>0</v>
      </c>
      <c r="K34" s="157">
        <v>0</v>
      </c>
      <c r="L34" s="137">
        <f>SUM(F34:J34)</f>
        <v>116794</v>
      </c>
    </row>
    <row r="35" spans="1:13" s="91" customFormat="1" ht="15" customHeight="1" x14ac:dyDescent="0.25">
      <c r="A35" s="752"/>
      <c r="B35" s="766"/>
      <c r="C35" s="758"/>
      <c r="D35" s="758"/>
      <c r="E35" s="132" t="s">
        <v>141</v>
      </c>
      <c r="F35" s="138">
        <v>88355</v>
      </c>
      <c r="G35" s="138">
        <v>11486</v>
      </c>
      <c r="H35" s="138">
        <v>0</v>
      </c>
      <c r="I35" s="138">
        <v>0</v>
      </c>
      <c r="J35" s="138">
        <v>0</v>
      </c>
      <c r="K35" s="156">
        <v>0</v>
      </c>
      <c r="L35" s="139">
        <f>SUM(F35:J35)</f>
        <v>99841</v>
      </c>
    </row>
    <row r="36" spans="1:13" s="91" customFormat="1" ht="15" customHeight="1" thickBot="1" x14ac:dyDescent="0.3">
      <c r="A36" s="753"/>
      <c r="B36" s="767"/>
      <c r="C36" s="759"/>
      <c r="D36" s="759"/>
      <c r="E36" s="134" t="s">
        <v>105</v>
      </c>
      <c r="F36" s="140">
        <f>SUM(F34:F35)</f>
        <v>88355</v>
      </c>
      <c r="G36" s="140">
        <f t="shared" ref="G36" si="36">SUM(G34:G35)</f>
        <v>11486</v>
      </c>
      <c r="H36" s="140">
        <f t="shared" ref="H36" si="37">SUM(H34:H35)</f>
        <v>0</v>
      </c>
      <c r="I36" s="140">
        <f t="shared" ref="I36" si="38">SUM(I34:I35)</f>
        <v>116794</v>
      </c>
      <c r="J36" s="140">
        <f t="shared" ref="J36:K36" si="39">SUM(J34:J35)</f>
        <v>0</v>
      </c>
      <c r="K36" s="140">
        <f t="shared" si="39"/>
        <v>0</v>
      </c>
      <c r="L36" s="141">
        <f t="shared" ref="L36" si="40">SUM(L34:L35)</f>
        <v>216635</v>
      </c>
    </row>
    <row r="37" spans="1:13" s="91" customFormat="1" ht="15" customHeight="1" x14ac:dyDescent="0.25">
      <c r="A37" s="751" t="s">
        <v>131</v>
      </c>
      <c r="B37" s="765" t="s">
        <v>225</v>
      </c>
      <c r="C37" s="757">
        <v>246112</v>
      </c>
      <c r="D37" s="757">
        <v>246112</v>
      </c>
      <c r="E37" s="133" t="s">
        <v>140</v>
      </c>
      <c r="F37" s="136">
        <v>0</v>
      </c>
      <c r="G37" s="136">
        <v>0</v>
      </c>
      <c r="H37" s="136">
        <v>0</v>
      </c>
      <c r="I37" s="136">
        <v>0</v>
      </c>
      <c r="J37" s="136">
        <v>0</v>
      </c>
      <c r="K37" s="157">
        <v>0</v>
      </c>
      <c r="L37" s="137">
        <f>SUM(F37:J37)</f>
        <v>0</v>
      </c>
    </row>
    <row r="38" spans="1:13" s="91" customFormat="1" ht="15" customHeight="1" x14ac:dyDescent="0.25">
      <c r="A38" s="752"/>
      <c r="B38" s="766"/>
      <c r="C38" s="758"/>
      <c r="D38" s="758"/>
      <c r="E38" s="132" t="s">
        <v>141</v>
      </c>
      <c r="F38" s="138">
        <v>217799</v>
      </c>
      <c r="G38" s="138">
        <v>28313</v>
      </c>
      <c r="H38" s="138">
        <v>0</v>
      </c>
      <c r="I38" s="138">
        <v>0</v>
      </c>
      <c r="J38" s="138">
        <v>0</v>
      </c>
      <c r="K38" s="156">
        <v>0</v>
      </c>
      <c r="L38" s="139">
        <f>SUM(F38:J38)</f>
        <v>246112</v>
      </c>
    </row>
    <row r="39" spans="1:13" s="91" customFormat="1" ht="15" customHeight="1" thickBot="1" x14ac:dyDescent="0.3">
      <c r="A39" s="753"/>
      <c r="B39" s="767"/>
      <c r="C39" s="759"/>
      <c r="D39" s="759"/>
      <c r="E39" s="134" t="s">
        <v>105</v>
      </c>
      <c r="F39" s="140">
        <f>SUM(F37:F38)</f>
        <v>217799</v>
      </c>
      <c r="G39" s="140">
        <f t="shared" ref="G39" si="41">SUM(G37:G38)</f>
        <v>28313</v>
      </c>
      <c r="H39" s="140">
        <f t="shared" ref="H39" si="42">SUM(H37:H38)</f>
        <v>0</v>
      </c>
      <c r="I39" s="140">
        <f t="shared" ref="I39" si="43">SUM(I37:I38)</f>
        <v>0</v>
      </c>
      <c r="J39" s="140">
        <f t="shared" ref="J39:K39" si="44">SUM(J37:J38)</f>
        <v>0</v>
      </c>
      <c r="K39" s="140">
        <f t="shared" si="44"/>
        <v>0</v>
      </c>
      <c r="L39" s="141">
        <f t="shared" ref="L39" si="45">SUM(L37:L38)</f>
        <v>246112</v>
      </c>
    </row>
    <row r="40" spans="1:13" s="91" customFormat="1" ht="15" customHeight="1" x14ac:dyDescent="0.25">
      <c r="A40" s="751" t="s">
        <v>132</v>
      </c>
      <c r="B40" s="765" t="s">
        <v>226</v>
      </c>
      <c r="C40" s="757">
        <v>101369</v>
      </c>
      <c r="D40" s="757">
        <v>101369</v>
      </c>
      <c r="E40" s="133" t="s">
        <v>140</v>
      </c>
      <c r="F40" s="136">
        <v>0</v>
      </c>
      <c r="G40" s="136">
        <v>0</v>
      </c>
      <c r="H40" s="136">
        <v>0</v>
      </c>
      <c r="I40" s="136">
        <v>0</v>
      </c>
      <c r="J40" s="136">
        <v>0</v>
      </c>
      <c r="K40" s="157">
        <v>0</v>
      </c>
      <c r="L40" s="137">
        <f>SUM(F40:J40)</f>
        <v>0</v>
      </c>
    </row>
    <row r="41" spans="1:13" s="91" customFormat="1" ht="15" customHeight="1" x14ac:dyDescent="0.25">
      <c r="A41" s="752"/>
      <c r="B41" s="766"/>
      <c r="C41" s="758"/>
      <c r="D41" s="758"/>
      <c r="E41" s="132" t="s">
        <v>141</v>
      </c>
      <c r="F41" s="138">
        <v>89707</v>
      </c>
      <c r="G41" s="138">
        <v>11662</v>
      </c>
      <c r="H41" s="138">
        <v>0</v>
      </c>
      <c r="I41" s="138">
        <v>0</v>
      </c>
      <c r="J41" s="138">
        <v>0</v>
      </c>
      <c r="K41" s="156">
        <v>0</v>
      </c>
      <c r="L41" s="139">
        <f>SUM(F41:J41)</f>
        <v>101369</v>
      </c>
    </row>
    <row r="42" spans="1:13" s="91" customFormat="1" ht="15" customHeight="1" thickBot="1" x14ac:dyDescent="0.3">
      <c r="A42" s="753"/>
      <c r="B42" s="767"/>
      <c r="C42" s="759"/>
      <c r="D42" s="759"/>
      <c r="E42" s="134" t="s">
        <v>105</v>
      </c>
      <c r="F42" s="140">
        <f>SUM(F40:F41)</f>
        <v>89707</v>
      </c>
      <c r="G42" s="140">
        <f t="shared" ref="G42" si="46">SUM(G40:G41)</f>
        <v>11662</v>
      </c>
      <c r="H42" s="140">
        <f t="shared" ref="H42" si="47">SUM(H40:H41)</f>
        <v>0</v>
      </c>
      <c r="I42" s="140">
        <f t="shared" ref="I42" si="48">SUM(I40:I41)</f>
        <v>0</v>
      </c>
      <c r="J42" s="140">
        <f t="shared" ref="J42:K42" si="49">SUM(J40:J41)</f>
        <v>0</v>
      </c>
      <c r="K42" s="140">
        <f t="shared" si="49"/>
        <v>0</v>
      </c>
      <c r="L42" s="141">
        <f t="shared" ref="L42" si="50">SUM(L40:L41)</f>
        <v>101369</v>
      </c>
    </row>
    <row r="43" spans="1:13" s="91" customFormat="1" ht="15" customHeight="1" x14ac:dyDescent="0.25">
      <c r="A43" s="751" t="s">
        <v>136</v>
      </c>
      <c r="B43" s="765" t="s">
        <v>227</v>
      </c>
      <c r="C43" s="757">
        <v>1065981</v>
      </c>
      <c r="D43" s="757">
        <v>1065981</v>
      </c>
      <c r="E43" s="133" t="s">
        <v>140</v>
      </c>
      <c r="F43" s="136">
        <v>0</v>
      </c>
      <c r="G43" s="136">
        <v>0</v>
      </c>
      <c r="H43" s="136">
        <v>0</v>
      </c>
      <c r="I43" s="136">
        <v>944848</v>
      </c>
      <c r="J43" s="136">
        <v>0</v>
      </c>
      <c r="K43" s="157">
        <v>0</v>
      </c>
      <c r="L43" s="137">
        <f>SUM(F43:J43)</f>
        <v>944848</v>
      </c>
    </row>
    <row r="44" spans="1:13" s="91" customFormat="1" ht="15" customHeight="1" x14ac:dyDescent="0.25">
      <c r="A44" s="752"/>
      <c r="B44" s="766"/>
      <c r="C44" s="758"/>
      <c r="D44" s="758"/>
      <c r="E44" s="132" t="s">
        <v>141</v>
      </c>
      <c r="F44" s="138">
        <v>107198</v>
      </c>
      <c r="G44" s="138">
        <v>13935</v>
      </c>
      <c r="H44" s="138">
        <v>0</v>
      </c>
      <c r="I44" s="138">
        <v>0</v>
      </c>
      <c r="J44" s="138">
        <v>0</v>
      </c>
      <c r="K44" s="156">
        <v>0</v>
      </c>
      <c r="L44" s="139">
        <f>SUM(F44:J44)</f>
        <v>121133</v>
      </c>
    </row>
    <row r="45" spans="1:13" s="91" customFormat="1" ht="15" customHeight="1" thickBot="1" x14ac:dyDescent="0.3">
      <c r="A45" s="753"/>
      <c r="B45" s="767"/>
      <c r="C45" s="759"/>
      <c r="D45" s="759"/>
      <c r="E45" s="134" t="s">
        <v>105</v>
      </c>
      <c r="F45" s="140">
        <f>SUM(F43:F44)</f>
        <v>107198</v>
      </c>
      <c r="G45" s="140">
        <f t="shared" ref="G45" si="51">SUM(G43:G44)</f>
        <v>13935</v>
      </c>
      <c r="H45" s="140">
        <f t="shared" ref="H45" si="52">SUM(H43:H44)</f>
        <v>0</v>
      </c>
      <c r="I45" s="140">
        <f t="shared" ref="I45" si="53">SUM(I43:I44)</f>
        <v>944848</v>
      </c>
      <c r="J45" s="140">
        <f t="shared" ref="J45:K45" si="54">SUM(J43:J44)</f>
        <v>0</v>
      </c>
      <c r="K45" s="140">
        <f t="shared" si="54"/>
        <v>0</v>
      </c>
      <c r="L45" s="141">
        <f t="shared" ref="L45" si="55">SUM(L43:L44)</f>
        <v>1065981</v>
      </c>
    </row>
    <row r="46" spans="1:13" s="91" customFormat="1" ht="15" customHeight="1" x14ac:dyDescent="0.25">
      <c r="A46" s="751" t="s">
        <v>154</v>
      </c>
      <c r="B46" s="765" t="s">
        <v>228</v>
      </c>
      <c r="C46" s="757">
        <v>681876</v>
      </c>
      <c r="D46" s="757">
        <v>506676</v>
      </c>
      <c r="E46" s="133" t="s">
        <v>140</v>
      </c>
      <c r="F46" s="136">
        <v>0</v>
      </c>
      <c r="G46" s="136">
        <v>0</v>
      </c>
      <c r="H46" s="136">
        <v>0</v>
      </c>
      <c r="I46" s="136">
        <v>535303</v>
      </c>
      <c r="J46" s="136">
        <v>0</v>
      </c>
      <c r="K46" s="136">
        <v>0</v>
      </c>
      <c r="L46" s="137">
        <f>SUM(F46:J46)</f>
        <v>535303</v>
      </c>
    </row>
    <row r="47" spans="1:13" s="91" customFormat="1" ht="15" customHeight="1" x14ac:dyDescent="0.25">
      <c r="A47" s="752"/>
      <c r="B47" s="766"/>
      <c r="C47" s="758"/>
      <c r="D47" s="758"/>
      <c r="E47" s="132" t="s">
        <v>141</v>
      </c>
      <c r="F47" s="138">
        <v>129710</v>
      </c>
      <c r="G47" s="138">
        <v>16863</v>
      </c>
      <c r="H47" s="138">
        <v>0</v>
      </c>
      <c r="I47" s="138">
        <v>0</v>
      </c>
      <c r="J47" s="138">
        <v>0</v>
      </c>
      <c r="K47" s="138">
        <v>0</v>
      </c>
      <c r="L47" s="139">
        <f>SUM(F47:J47)</f>
        <v>146573</v>
      </c>
    </row>
    <row r="48" spans="1:13" s="91" customFormat="1" ht="15" customHeight="1" thickBot="1" x14ac:dyDescent="0.3">
      <c r="A48" s="753"/>
      <c r="B48" s="767"/>
      <c r="C48" s="759"/>
      <c r="D48" s="759"/>
      <c r="E48" s="134" t="s">
        <v>105</v>
      </c>
      <c r="F48" s="140">
        <f>SUM(F46:F47)</f>
        <v>129710</v>
      </c>
      <c r="G48" s="140">
        <f t="shared" ref="G48" si="56">SUM(G46:G47)</f>
        <v>16863</v>
      </c>
      <c r="H48" s="140">
        <f t="shared" ref="H48" si="57">SUM(H46:H47)</f>
        <v>0</v>
      </c>
      <c r="I48" s="140">
        <f t="shared" ref="I48" si="58">SUM(I46:I47)</f>
        <v>535303</v>
      </c>
      <c r="J48" s="140">
        <f t="shared" ref="J48:K48" si="59">SUM(J46:J47)</f>
        <v>0</v>
      </c>
      <c r="K48" s="140">
        <f t="shared" si="59"/>
        <v>0</v>
      </c>
      <c r="L48" s="141">
        <f t="shared" ref="L48" si="60">SUM(L46:L47)</f>
        <v>681876</v>
      </c>
      <c r="M48" s="154"/>
    </row>
    <row r="49" spans="1:17" s="91" customFormat="1" ht="15" customHeight="1" x14ac:dyDescent="0.25">
      <c r="A49" s="751" t="s">
        <v>162</v>
      </c>
      <c r="B49" s="765" t="s">
        <v>229</v>
      </c>
      <c r="C49" s="757">
        <v>242816</v>
      </c>
      <c r="D49" s="757">
        <v>242816</v>
      </c>
      <c r="E49" s="133" t="s">
        <v>140</v>
      </c>
      <c r="F49" s="136">
        <v>0</v>
      </c>
      <c r="G49" s="136">
        <v>0</v>
      </c>
      <c r="H49" s="136">
        <v>0</v>
      </c>
      <c r="I49" s="136">
        <v>20855</v>
      </c>
      <c r="J49" s="136">
        <v>0</v>
      </c>
      <c r="K49" s="136">
        <v>0</v>
      </c>
      <c r="L49" s="137">
        <f>SUM(F49:J49)</f>
        <v>20855</v>
      </c>
    </row>
    <row r="50" spans="1:17" s="91" customFormat="1" ht="15" customHeight="1" x14ac:dyDescent="0.25">
      <c r="A50" s="752"/>
      <c r="B50" s="766"/>
      <c r="C50" s="758"/>
      <c r="D50" s="758"/>
      <c r="E50" s="132" t="s">
        <v>141</v>
      </c>
      <c r="F50" s="138">
        <v>196425</v>
      </c>
      <c r="G50" s="138">
        <v>25536</v>
      </c>
      <c r="H50" s="138">
        <v>0</v>
      </c>
      <c r="I50" s="138">
        <v>0</v>
      </c>
      <c r="J50" s="138">
        <v>0</v>
      </c>
      <c r="K50" s="138">
        <v>0</v>
      </c>
      <c r="L50" s="139">
        <f>SUM(F50:J50)</f>
        <v>221961</v>
      </c>
    </row>
    <row r="51" spans="1:17" s="91" customFormat="1" ht="15" customHeight="1" thickBot="1" x14ac:dyDescent="0.3">
      <c r="A51" s="753"/>
      <c r="B51" s="767"/>
      <c r="C51" s="759"/>
      <c r="D51" s="759"/>
      <c r="E51" s="134" t="s">
        <v>105</v>
      </c>
      <c r="F51" s="140">
        <f>SUM(F49:F50)</f>
        <v>196425</v>
      </c>
      <c r="G51" s="140">
        <f t="shared" ref="G51" si="61">SUM(G49:G50)</f>
        <v>25536</v>
      </c>
      <c r="H51" s="140">
        <f t="shared" ref="H51" si="62">SUM(H49:H50)</f>
        <v>0</v>
      </c>
      <c r="I51" s="140">
        <f t="shared" ref="I51" si="63">SUM(I49:I50)</f>
        <v>20855</v>
      </c>
      <c r="J51" s="140">
        <f t="shared" ref="J51:K51" si="64">SUM(J49:J50)</f>
        <v>0</v>
      </c>
      <c r="K51" s="140">
        <f t="shared" si="64"/>
        <v>0</v>
      </c>
      <c r="L51" s="141">
        <f t="shared" ref="L51" si="65">SUM(L49:L50)</f>
        <v>242816</v>
      </c>
    </row>
    <row r="52" spans="1:17" s="91" customFormat="1" ht="17.100000000000001" customHeight="1" x14ac:dyDescent="0.25">
      <c r="A52" s="751" t="s">
        <v>165</v>
      </c>
      <c r="B52" s="781" t="s">
        <v>235</v>
      </c>
      <c r="C52" s="757">
        <v>17699550</v>
      </c>
      <c r="D52" s="757">
        <v>17699550</v>
      </c>
      <c r="E52" s="133" t="s">
        <v>140</v>
      </c>
      <c r="F52" s="136">
        <v>0</v>
      </c>
      <c r="G52" s="136">
        <v>0</v>
      </c>
      <c r="H52" s="136">
        <v>0</v>
      </c>
      <c r="I52" s="136">
        <v>0</v>
      </c>
      <c r="J52" s="136">
        <v>16597800</v>
      </c>
      <c r="K52" s="136">
        <v>0</v>
      </c>
      <c r="L52" s="137">
        <f>SUM(F52:J52)</f>
        <v>16597800</v>
      </c>
      <c r="M52" s="749"/>
      <c r="N52" s="750"/>
      <c r="O52" s="750"/>
      <c r="P52" s="750"/>
      <c r="Q52" s="750"/>
    </row>
    <row r="53" spans="1:17" s="91" customFormat="1" ht="17.100000000000001" customHeight="1" x14ac:dyDescent="0.25">
      <c r="A53" s="752"/>
      <c r="B53" s="782"/>
      <c r="C53" s="758"/>
      <c r="D53" s="758"/>
      <c r="E53" s="132" t="s">
        <v>141</v>
      </c>
      <c r="F53" s="138">
        <v>975000</v>
      </c>
      <c r="G53" s="138">
        <v>126750</v>
      </c>
      <c r="H53" s="138">
        <v>0</v>
      </c>
      <c r="I53" s="138">
        <v>0</v>
      </c>
      <c r="J53" s="138">
        <v>0</v>
      </c>
      <c r="K53" s="138">
        <v>0</v>
      </c>
      <c r="L53" s="139">
        <f>SUM(F53:J53)</f>
        <v>1101750</v>
      </c>
      <c r="M53" s="749"/>
      <c r="N53" s="750"/>
      <c r="O53" s="750"/>
      <c r="P53" s="750"/>
      <c r="Q53" s="750"/>
    </row>
    <row r="54" spans="1:17" s="91" customFormat="1" ht="17.100000000000001" customHeight="1" thickBot="1" x14ac:dyDescent="0.3">
      <c r="A54" s="753"/>
      <c r="B54" s="783"/>
      <c r="C54" s="759"/>
      <c r="D54" s="759"/>
      <c r="E54" s="134" t="s">
        <v>105</v>
      </c>
      <c r="F54" s="140">
        <f>SUM(F52:F53)</f>
        <v>975000</v>
      </c>
      <c r="G54" s="140">
        <f t="shared" ref="G54" si="66">SUM(G52:G53)</f>
        <v>126750</v>
      </c>
      <c r="H54" s="140">
        <f t="shared" ref="H54" si="67">SUM(H52:H53)</f>
        <v>0</v>
      </c>
      <c r="I54" s="140">
        <f t="shared" ref="I54" si="68">SUM(I52:I53)</f>
        <v>0</v>
      </c>
      <c r="J54" s="140">
        <f t="shared" ref="J54:K54" si="69">SUM(J52:J53)</f>
        <v>16597800</v>
      </c>
      <c r="K54" s="140">
        <f t="shared" si="69"/>
        <v>0</v>
      </c>
      <c r="L54" s="141">
        <f t="shared" ref="L54" si="70">SUM(L52:L53)</f>
        <v>17699550</v>
      </c>
    </row>
    <row r="55" spans="1:17" s="91" customFormat="1" ht="15" customHeight="1" x14ac:dyDescent="0.25">
      <c r="A55" s="751" t="s">
        <v>166</v>
      </c>
      <c r="B55" s="780" t="s">
        <v>335</v>
      </c>
      <c r="C55" s="757">
        <v>2994262</v>
      </c>
      <c r="D55" s="757">
        <v>2994262</v>
      </c>
      <c r="E55" s="133" t="s">
        <v>140</v>
      </c>
      <c r="F55" s="136">
        <v>2271992</v>
      </c>
      <c r="G55" s="136">
        <v>91432</v>
      </c>
      <c r="H55" s="136">
        <v>630838</v>
      </c>
      <c r="I55" s="136">
        <v>0</v>
      </c>
      <c r="J55" s="136">
        <v>0</v>
      </c>
      <c r="K55" s="136">
        <v>0</v>
      </c>
      <c r="L55" s="137">
        <f>SUM(F55:J55)</f>
        <v>2994262</v>
      </c>
    </row>
    <row r="56" spans="1:17" s="91" customFormat="1" ht="15" customHeight="1" x14ac:dyDescent="0.25">
      <c r="A56" s="752"/>
      <c r="B56" s="775"/>
      <c r="C56" s="758"/>
      <c r="D56" s="758"/>
      <c r="E56" s="132" t="s">
        <v>141</v>
      </c>
      <c r="F56" s="138">
        <v>0</v>
      </c>
      <c r="G56" s="138">
        <v>0</v>
      </c>
      <c r="H56" s="138">
        <v>0</v>
      </c>
      <c r="I56" s="138">
        <v>0</v>
      </c>
      <c r="J56" s="138">
        <v>0</v>
      </c>
      <c r="K56" s="138">
        <v>0</v>
      </c>
      <c r="L56" s="139">
        <f>SUM(F56:J56)</f>
        <v>0</v>
      </c>
    </row>
    <row r="57" spans="1:17" s="91" customFormat="1" ht="15" customHeight="1" thickBot="1" x14ac:dyDescent="0.3">
      <c r="A57" s="753"/>
      <c r="B57" s="776"/>
      <c r="C57" s="759"/>
      <c r="D57" s="759"/>
      <c r="E57" s="134" t="s">
        <v>105</v>
      </c>
      <c r="F57" s="140">
        <f>SUM(F55:F56)</f>
        <v>2271992</v>
      </c>
      <c r="G57" s="140">
        <f t="shared" ref="G57" si="71">SUM(G55:G56)</f>
        <v>91432</v>
      </c>
      <c r="H57" s="140">
        <f t="shared" ref="H57" si="72">SUM(H55:H56)</f>
        <v>630838</v>
      </c>
      <c r="I57" s="140">
        <f t="shared" ref="I57" si="73">SUM(I55:I56)</f>
        <v>0</v>
      </c>
      <c r="J57" s="140">
        <f t="shared" ref="J57:K57" si="74">SUM(J55:J56)</f>
        <v>0</v>
      </c>
      <c r="K57" s="140">
        <f t="shared" si="74"/>
        <v>0</v>
      </c>
      <c r="L57" s="141">
        <f t="shared" ref="L57" si="75">SUM(L55:L56)</f>
        <v>2994262</v>
      </c>
    </row>
    <row r="58" spans="1:17" s="91" customFormat="1" ht="15" customHeight="1" x14ac:dyDescent="0.25">
      <c r="A58" s="751" t="s">
        <v>169</v>
      </c>
      <c r="B58" s="765" t="s">
        <v>336</v>
      </c>
      <c r="C58" s="757">
        <v>12444000</v>
      </c>
      <c r="D58" s="757">
        <v>12444000</v>
      </c>
      <c r="E58" s="133" t="s">
        <v>140</v>
      </c>
      <c r="F58" s="136">
        <v>0</v>
      </c>
      <c r="G58" s="136">
        <v>0</v>
      </c>
      <c r="H58" s="136">
        <v>0</v>
      </c>
      <c r="I58" s="136">
        <v>0</v>
      </c>
      <c r="J58" s="136">
        <v>0</v>
      </c>
      <c r="K58" s="136">
        <v>12444000</v>
      </c>
      <c r="L58" s="137">
        <f>SUM(F58:K58)</f>
        <v>12444000</v>
      </c>
    </row>
    <row r="59" spans="1:17" s="91" customFormat="1" ht="15" customHeight="1" x14ac:dyDescent="0.25">
      <c r="A59" s="752"/>
      <c r="B59" s="766"/>
      <c r="C59" s="758"/>
      <c r="D59" s="758"/>
      <c r="E59" s="132" t="s">
        <v>141</v>
      </c>
      <c r="F59" s="138">
        <v>0</v>
      </c>
      <c r="G59" s="138">
        <v>0</v>
      </c>
      <c r="H59" s="138">
        <v>0</v>
      </c>
      <c r="I59" s="138">
        <v>0</v>
      </c>
      <c r="J59" s="138">
        <v>0</v>
      </c>
      <c r="K59" s="138">
        <v>0</v>
      </c>
      <c r="L59" s="139">
        <f>SUM(F59:J59)</f>
        <v>0</v>
      </c>
    </row>
    <row r="60" spans="1:17" s="91" customFormat="1" ht="15" customHeight="1" thickBot="1" x14ac:dyDescent="0.3">
      <c r="A60" s="753"/>
      <c r="B60" s="767"/>
      <c r="C60" s="759"/>
      <c r="D60" s="759"/>
      <c r="E60" s="134" t="s">
        <v>105</v>
      </c>
      <c r="F60" s="140">
        <f>SUM(F58:F59)</f>
        <v>0</v>
      </c>
      <c r="G60" s="140">
        <f t="shared" ref="G60" si="76">SUM(G58:G59)</f>
        <v>0</v>
      </c>
      <c r="H60" s="140">
        <f t="shared" ref="H60" si="77">SUM(H58:H59)</f>
        <v>0</v>
      </c>
      <c r="I60" s="140">
        <f t="shared" ref="I60" si="78">SUM(I58:I59)</f>
        <v>0</v>
      </c>
      <c r="J60" s="140">
        <f t="shared" ref="J60:K60" si="79">SUM(J58:J59)</f>
        <v>0</v>
      </c>
      <c r="K60" s="140">
        <f t="shared" si="79"/>
        <v>12444000</v>
      </c>
      <c r="L60" s="141">
        <f>SUM(L58:L59)</f>
        <v>12444000</v>
      </c>
    </row>
    <row r="61" spans="1:17" s="91" customFormat="1" ht="15" customHeight="1" x14ac:dyDescent="0.25">
      <c r="A61" s="751" t="s">
        <v>170</v>
      </c>
      <c r="B61" s="768" t="s">
        <v>372</v>
      </c>
      <c r="C61" s="757">
        <v>2000000</v>
      </c>
      <c r="D61" s="757">
        <v>2000000</v>
      </c>
      <c r="E61" s="133" t="s">
        <v>140</v>
      </c>
      <c r="F61" s="136">
        <v>0</v>
      </c>
      <c r="G61" s="136">
        <v>0</v>
      </c>
      <c r="H61" s="136">
        <v>0</v>
      </c>
      <c r="I61" s="136">
        <v>2000000</v>
      </c>
      <c r="J61" s="136">
        <v>0</v>
      </c>
      <c r="K61" s="136">
        <v>0</v>
      </c>
      <c r="L61" s="137">
        <f>SUM(F61:J61)</f>
        <v>2000000</v>
      </c>
    </row>
    <row r="62" spans="1:17" s="91" customFormat="1" ht="15" customHeight="1" x14ac:dyDescent="0.25">
      <c r="A62" s="752"/>
      <c r="B62" s="769"/>
      <c r="C62" s="758"/>
      <c r="D62" s="758"/>
      <c r="E62" s="132" t="s">
        <v>141</v>
      </c>
      <c r="F62" s="138">
        <v>0</v>
      </c>
      <c r="G62" s="138">
        <v>0</v>
      </c>
      <c r="H62" s="138">
        <v>0</v>
      </c>
      <c r="I62" s="138">
        <v>0</v>
      </c>
      <c r="J62" s="138">
        <v>0</v>
      </c>
      <c r="K62" s="138">
        <v>0</v>
      </c>
      <c r="L62" s="139">
        <f>SUM(F62:J62)</f>
        <v>0</v>
      </c>
    </row>
    <row r="63" spans="1:17" s="91" customFormat="1" ht="15" customHeight="1" thickBot="1" x14ac:dyDescent="0.3">
      <c r="A63" s="753"/>
      <c r="B63" s="770"/>
      <c r="C63" s="759"/>
      <c r="D63" s="759"/>
      <c r="E63" s="134" t="s">
        <v>105</v>
      </c>
      <c r="F63" s="140">
        <f>SUM(F61:F62)</f>
        <v>0</v>
      </c>
      <c r="G63" s="140">
        <f t="shared" ref="G63" si="80">SUM(G61:G62)</f>
        <v>0</v>
      </c>
      <c r="H63" s="140">
        <f t="shared" ref="H63" si="81">SUM(H61:H62)</f>
        <v>0</v>
      </c>
      <c r="I63" s="140">
        <f t="shared" ref="I63" si="82">SUM(I61:I62)</f>
        <v>2000000</v>
      </c>
      <c r="J63" s="140">
        <f t="shared" ref="J63:K63" si="83">SUM(J61:J62)</f>
        <v>0</v>
      </c>
      <c r="K63" s="140">
        <f t="shared" si="83"/>
        <v>0</v>
      </c>
      <c r="L63" s="141">
        <f t="shared" ref="L63" si="84">SUM(L61:L62)</f>
        <v>2000000</v>
      </c>
    </row>
    <row r="64" spans="1:17" s="91" customFormat="1" ht="17.100000000000001" customHeight="1" x14ac:dyDescent="0.25">
      <c r="A64" s="751" t="s">
        <v>185</v>
      </c>
      <c r="B64" s="768" t="s">
        <v>373</v>
      </c>
      <c r="C64" s="757">
        <v>250000</v>
      </c>
      <c r="D64" s="757">
        <v>250000</v>
      </c>
      <c r="E64" s="133" t="s">
        <v>140</v>
      </c>
      <c r="F64" s="136">
        <v>0</v>
      </c>
      <c r="G64" s="136">
        <v>0</v>
      </c>
      <c r="H64" s="136">
        <v>0</v>
      </c>
      <c r="I64" s="136">
        <v>250000</v>
      </c>
      <c r="J64" s="136">
        <v>0</v>
      </c>
      <c r="K64" s="136">
        <v>0</v>
      </c>
      <c r="L64" s="137">
        <f>SUM(F64:J64)</f>
        <v>250000</v>
      </c>
    </row>
    <row r="65" spans="1:12" s="91" customFormat="1" ht="17.100000000000001" customHeight="1" x14ac:dyDescent="0.25">
      <c r="A65" s="752"/>
      <c r="B65" s="769"/>
      <c r="C65" s="758"/>
      <c r="D65" s="758"/>
      <c r="E65" s="132" t="s">
        <v>141</v>
      </c>
      <c r="F65" s="138">
        <v>0</v>
      </c>
      <c r="G65" s="138">
        <v>0</v>
      </c>
      <c r="H65" s="138">
        <v>0</v>
      </c>
      <c r="I65" s="138">
        <v>0</v>
      </c>
      <c r="J65" s="138">
        <v>0</v>
      </c>
      <c r="K65" s="138">
        <v>0</v>
      </c>
      <c r="L65" s="139">
        <f>SUM(F65:J65)</f>
        <v>0</v>
      </c>
    </row>
    <row r="66" spans="1:12" s="91" customFormat="1" ht="17.100000000000001" customHeight="1" thickBot="1" x14ac:dyDescent="0.3">
      <c r="A66" s="753"/>
      <c r="B66" s="770"/>
      <c r="C66" s="759"/>
      <c r="D66" s="759"/>
      <c r="E66" s="134" t="s">
        <v>105</v>
      </c>
      <c r="F66" s="140">
        <f>SUM(F64:F65)</f>
        <v>0</v>
      </c>
      <c r="G66" s="140">
        <f t="shared" ref="G66" si="85">SUM(G64:G65)</f>
        <v>0</v>
      </c>
      <c r="H66" s="140">
        <f t="shared" ref="H66" si="86">SUM(H64:H65)</f>
        <v>0</v>
      </c>
      <c r="I66" s="140">
        <f t="shared" ref="I66" si="87">SUM(I64:I65)</f>
        <v>250000</v>
      </c>
      <c r="J66" s="140">
        <f t="shared" ref="J66:K66" si="88">SUM(J64:J65)</f>
        <v>0</v>
      </c>
      <c r="K66" s="140">
        <f t="shared" si="88"/>
        <v>0</v>
      </c>
      <c r="L66" s="141">
        <f t="shared" ref="L66" si="89">SUM(L64:L65)</f>
        <v>250000</v>
      </c>
    </row>
    <row r="67" spans="1:12" s="91" customFormat="1" ht="15" customHeight="1" x14ac:dyDescent="0.25">
      <c r="A67" s="751" t="s">
        <v>186</v>
      </c>
      <c r="B67" s="777" t="s">
        <v>274</v>
      </c>
      <c r="C67" s="754">
        <v>6000000</v>
      </c>
      <c r="D67" s="757">
        <v>4000000</v>
      </c>
      <c r="E67" s="133" t="s">
        <v>140</v>
      </c>
      <c r="F67" s="136">
        <v>0</v>
      </c>
      <c r="G67" s="136">
        <v>0</v>
      </c>
      <c r="H67" s="136">
        <v>0</v>
      </c>
      <c r="I67" s="136">
        <v>6000000</v>
      </c>
      <c r="J67" s="136">
        <v>0</v>
      </c>
      <c r="K67" s="136">
        <v>0</v>
      </c>
      <c r="L67" s="137">
        <f>SUM(F67:J67)</f>
        <v>6000000</v>
      </c>
    </row>
    <row r="68" spans="1:12" s="91" customFormat="1" ht="15" customHeight="1" x14ac:dyDescent="0.25">
      <c r="A68" s="752"/>
      <c r="B68" s="778"/>
      <c r="C68" s="755"/>
      <c r="D68" s="758"/>
      <c r="E68" s="132" t="s">
        <v>141</v>
      </c>
      <c r="F68" s="138">
        <v>0</v>
      </c>
      <c r="G68" s="138">
        <v>0</v>
      </c>
      <c r="H68" s="138">
        <v>0</v>
      </c>
      <c r="I68" s="138">
        <v>0</v>
      </c>
      <c r="J68" s="138">
        <v>0</v>
      </c>
      <c r="K68" s="138">
        <v>0</v>
      </c>
      <c r="L68" s="139">
        <f>SUM(F68:J68)</f>
        <v>0</v>
      </c>
    </row>
    <row r="69" spans="1:12" s="91" customFormat="1" ht="15" customHeight="1" thickBot="1" x14ac:dyDescent="0.3">
      <c r="A69" s="753"/>
      <c r="B69" s="779"/>
      <c r="C69" s="756"/>
      <c r="D69" s="759"/>
      <c r="E69" s="134" t="s">
        <v>105</v>
      </c>
      <c r="F69" s="140">
        <f>SUM(F67:F68)</f>
        <v>0</v>
      </c>
      <c r="G69" s="140">
        <f t="shared" ref="G69" si="90">SUM(G67:G68)</f>
        <v>0</v>
      </c>
      <c r="H69" s="140">
        <f t="shared" ref="H69" si="91">SUM(H67:H68)</f>
        <v>0</v>
      </c>
      <c r="I69" s="140">
        <f t="shared" ref="I69" si="92">SUM(I67:I68)</f>
        <v>6000000</v>
      </c>
      <c r="J69" s="140">
        <f t="shared" ref="J69:K69" si="93">SUM(J67:J68)</f>
        <v>0</v>
      </c>
      <c r="K69" s="140">
        <f t="shared" si="93"/>
        <v>0</v>
      </c>
      <c r="L69" s="141">
        <f t="shared" ref="L69" si="94">SUM(L67:L68)</f>
        <v>6000000</v>
      </c>
    </row>
    <row r="70" spans="1:12" s="91" customFormat="1" ht="17.100000000000001" customHeight="1" x14ac:dyDescent="0.25">
      <c r="A70" s="751" t="s">
        <v>187</v>
      </c>
      <c r="B70" s="780" t="s">
        <v>275</v>
      </c>
      <c r="C70" s="757">
        <v>1054500</v>
      </c>
      <c r="D70" s="757">
        <v>1054500</v>
      </c>
      <c r="E70" s="133" t="s">
        <v>140</v>
      </c>
      <c r="F70" s="136">
        <v>0</v>
      </c>
      <c r="G70" s="136">
        <v>0</v>
      </c>
      <c r="H70" s="136">
        <v>1054500</v>
      </c>
      <c r="I70" s="136">
        <v>0</v>
      </c>
      <c r="J70" s="136">
        <v>0</v>
      </c>
      <c r="K70" s="136">
        <v>0</v>
      </c>
      <c r="L70" s="137">
        <f>SUM(F70:J70)</f>
        <v>1054500</v>
      </c>
    </row>
    <row r="71" spans="1:12" s="91" customFormat="1" ht="17.100000000000001" customHeight="1" x14ac:dyDescent="0.25">
      <c r="A71" s="752"/>
      <c r="B71" s="775"/>
      <c r="C71" s="758"/>
      <c r="D71" s="758"/>
      <c r="E71" s="132" t="s">
        <v>141</v>
      </c>
      <c r="F71" s="138">
        <v>0</v>
      </c>
      <c r="G71" s="138">
        <v>0</v>
      </c>
      <c r="H71" s="138">
        <v>0</v>
      </c>
      <c r="I71" s="138">
        <v>0</v>
      </c>
      <c r="J71" s="138">
        <v>0</v>
      </c>
      <c r="K71" s="138">
        <v>0</v>
      </c>
      <c r="L71" s="139">
        <f>SUM(F71:J71)</f>
        <v>0</v>
      </c>
    </row>
    <row r="72" spans="1:12" s="91" customFormat="1" ht="17.100000000000001" customHeight="1" thickBot="1" x14ac:dyDescent="0.3">
      <c r="A72" s="753"/>
      <c r="B72" s="776"/>
      <c r="C72" s="759"/>
      <c r="D72" s="759"/>
      <c r="E72" s="134" t="s">
        <v>105</v>
      </c>
      <c r="F72" s="140">
        <f>SUM(F70:F71)</f>
        <v>0</v>
      </c>
      <c r="G72" s="140">
        <f t="shared" ref="G72" si="95">SUM(G70:G71)</f>
        <v>0</v>
      </c>
      <c r="H72" s="140">
        <f t="shared" ref="H72" si="96">SUM(H70:H71)</f>
        <v>1054500</v>
      </c>
      <c r="I72" s="140">
        <f t="shared" ref="I72" si="97">SUM(I70:I71)</f>
        <v>0</v>
      </c>
      <c r="J72" s="140">
        <f t="shared" ref="J72:K72" si="98">SUM(J70:J71)</f>
        <v>0</v>
      </c>
      <c r="K72" s="140">
        <f t="shared" si="98"/>
        <v>0</v>
      </c>
      <c r="L72" s="141">
        <f t="shared" ref="L72" si="99">SUM(L70:L71)</f>
        <v>1054500</v>
      </c>
    </row>
    <row r="73" spans="1:12" s="91" customFormat="1" ht="15" customHeight="1" x14ac:dyDescent="0.25">
      <c r="A73" s="751" t="s">
        <v>188</v>
      </c>
      <c r="B73" s="774" t="s">
        <v>276</v>
      </c>
      <c r="C73" s="757">
        <v>50000</v>
      </c>
      <c r="D73" s="757">
        <v>50000</v>
      </c>
      <c r="E73" s="133" t="s">
        <v>140</v>
      </c>
      <c r="F73" s="136">
        <v>0</v>
      </c>
      <c r="G73" s="136">
        <v>0</v>
      </c>
      <c r="H73" s="136">
        <v>50000</v>
      </c>
      <c r="I73" s="136">
        <v>0</v>
      </c>
      <c r="J73" s="136">
        <v>0</v>
      </c>
      <c r="K73" s="136">
        <v>0</v>
      </c>
      <c r="L73" s="137">
        <f>SUM(F73:K73)</f>
        <v>50000</v>
      </c>
    </row>
    <row r="74" spans="1:12" s="91" customFormat="1" ht="15" customHeight="1" x14ac:dyDescent="0.25">
      <c r="A74" s="752"/>
      <c r="B74" s="775"/>
      <c r="C74" s="758"/>
      <c r="D74" s="758"/>
      <c r="E74" s="132" t="s">
        <v>141</v>
      </c>
      <c r="F74" s="138">
        <v>0</v>
      </c>
      <c r="G74" s="138">
        <v>0</v>
      </c>
      <c r="H74" s="138">
        <v>0</v>
      </c>
      <c r="I74" s="138">
        <v>0</v>
      </c>
      <c r="J74" s="138">
        <v>0</v>
      </c>
      <c r="K74" s="138">
        <v>0</v>
      </c>
      <c r="L74" s="139">
        <f>SUM(F74:J74)</f>
        <v>0</v>
      </c>
    </row>
    <row r="75" spans="1:12" s="91" customFormat="1" ht="15" customHeight="1" thickBot="1" x14ac:dyDescent="0.3">
      <c r="A75" s="753"/>
      <c r="B75" s="776"/>
      <c r="C75" s="759"/>
      <c r="D75" s="759"/>
      <c r="E75" s="134" t="s">
        <v>105</v>
      </c>
      <c r="F75" s="140">
        <f>SUM(F73:F74)</f>
        <v>0</v>
      </c>
      <c r="G75" s="140">
        <f t="shared" ref="G75" si="100">SUM(G73:G74)</f>
        <v>0</v>
      </c>
      <c r="H75" s="140">
        <f t="shared" ref="H75" si="101">SUM(H73:H74)</f>
        <v>50000</v>
      </c>
      <c r="I75" s="140">
        <f t="shared" ref="I75" si="102">SUM(I73:I74)</f>
        <v>0</v>
      </c>
      <c r="J75" s="140">
        <f t="shared" ref="J75:K75" si="103">SUM(J73:J74)</f>
        <v>0</v>
      </c>
      <c r="K75" s="140">
        <f t="shared" si="103"/>
        <v>0</v>
      </c>
      <c r="L75" s="141">
        <f t="shared" ref="L75" si="104">SUM(L73:L74)</f>
        <v>50000</v>
      </c>
    </row>
    <row r="76" spans="1:12" s="91" customFormat="1" ht="15" customHeight="1" x14ac:dyDescent="0.25">
      <c r="A76" s="751" t="s">
        <v>191</v>
      </c>
      <c r="B76" s="765" t="s">
        <v>277</v>
      </c>
      <c r="C76" s="757">
        <v>50000</v>
      </c>
      <c r="D76" s="757">
        <v>50000</v>
      </c>
      <c r="E76" s="133" t="s">
        <v>140</v>
      </c>
      <c r="F76" s="136">
        <v>0</v>
      </c>
      <c r="G76" s="136">
        <v>0</v>
      </c>
      <c r="H76" s="136">
        <v>50000</v>
      </c>
      <c r="I76" s="136">
        <v>0</v>
      </c>
      <c r="J76" s="136">
        <v>0</v>
      </c>
      <c r="K76" s="136">
        <v>0</v>
      </c>
      <c r="L76" s="137">
        <f>SUM(F76:J76)</f>
        <v>50000</v>
      </c>
    </row>
    <row r="77" spans="1:12" s="91" customFormat="1" ht="15" customHeight="1" x14ac:dyDescent="0.25">
      <c r="A77" s="752"/>
      <c r="B77" s="766"/>
      <c r="C77" s="758"/>
      <c r="D77" s="758"/>
      <c r="E77" s="132" t="s">
        <v>141</v>
      </c>
      <c r="F77" s="138">
        <v>0</v>
      </c>
      <c r="G77" s="138">
        <v>0</v>
      </c>
      <c r="H77" s="138">
        <v>0</v>
      </c>
      <c r="I77" s="138">
        <v>0</v>
      </c>
      <c r="J77" s="138">
        <v>0</v>
      </c>
      <c r="K77" s="138">
        <v>0</v>
      </c>
      <c r="L77" s="139">
        <f>SUM(F77:J77)</f>
        <v>0</v>
      </c>
    </row>
    <row r="78" spans="1:12" s="91" customFormat="1" ht="15" customHeight="1" thickBot="1" x14ac:dyDescent="0.3">
      <c r="A78" s="753"/>
      <c r="B78" s="767"/>
      <c r="C78" s="759"/>
      <c r="D78" s="759"/>
      <c r="E78" s="134" t="s">
        <v>105</v>
      </c>
      <c r="F78" s="140">
        <f>SUM(F76:F77)</f>
        <v>0</v>
      </c>
      <c r="G78" s="140">
        <f t="shared" ref="G78:L78" si="105">SUM(G76:G77)</f>
        <v>0</v>
      </c>
      <c r="H78" s="140">
        <f t="shared" si="105"/>
        <v>50000</v>
      </c>
      <c r="I78" s="140">
        <f t="shared" si="105"/>
        <v>0</v>
      </c>
      <c r="J78" s="140">
        <f t="shared" si="105"/>
        <v>0</v>
      </c>
      <c r="K78" s="140">
        <f t="shared" si="105"/>
        <v>0</v>
      </c>
      <c r="L78" s="141">
        <f t="shared" si="105"/>
        <v>50000</v>
      </c>
    </row>
    <row r="79" spans="1:12" s="91" customFormat="1" ht="15" customHeight="1" x14ac:dyDescent="0.25">
      <c r="A79" s="751" t="s">
        <v>194</v>
      </c>
      <c r="B79" s="765" t="s">
        <v>278</v>
      </c>
      <c r="C79" s="757">
        <v>113000</v>
      </c>
      <c r="D79" s="757">
        <v>113000</v>
      </c>
      <c r="E79" s="133" t="s">
        <v>140</v>
      </c>
      <c r="F79" s="136">
        <v>100000</v>
      </c>
      <c r="G79" s="136">
        <v>13000</v>
      </c>
      <c r="H79" s="136">
        <v>0</v>
      </c>
      <c r="I79" s="136">
        <v>0</v>
      </c>
      <c r="J79" s="136">
        <v>0</v>
      </c>
      <c r="K79" s="136">
        <v>0</v>
      </c>
      <c r="L79" s="137">
        <f>SUM(F79:J79)</f>
        <v>113000</v>
      </c>
    </row>
    <row r="80" spans="1:12" s="91" customFormat="1" ht="15" customHeight="1" x14ac:dyDescent="0.25">
      <c r="A80" s="752"/>
      <c r="B80" s="766"/>
      <c r="C80" s="758"/>
      <c r="D80" s="758"/>
      <c r="E80" s="132" t="s">
        <v>141</v>
      </c>
      <c r="F80" s="138">
        <v>0</v>
      </c>
      <c r="G80" s="138">
        <v>0</v>
      </c>
      <c r="H80" s="138">
        <v>0</v>
      </c>
      <c r="I80" s="138">
        <v>0</v>
      </c>
      <c r="J80" s="138">
        <v>0</v>
      </c>
      <c r="K80" s="138">
        <v>0</v>
      </c>
      <c r="L80" s="139">
        <f>SUM(F80:J80)</f>
        <v>0</v>
      </c>
    </row>
    <row r="81" spans="1:13" s="91" customFormat="1" ht="15" customHeight="1" thickBot="1" x14ac:dyDescent="0.3">
      <c r="A81" s="753"/>
      <c r="B81" s="767"/>
      <c r="C81" s="759"/>
      <c r="D81" s="759"/>
      <c r="E81" s="134" t="s">
        <v>105</v>
      </c>
      <c r="F81" s="140">
        <f>SUM(F79:F80)</f>
        <v>100000</v>
      </c>
      <c r="G81" s="140">
        <f t="shared" ref="G81" si="106">SUM(G79:G80)</f>
        <v>13000</v>
      </c>
      <c r="H81" s="140">
        <f t="shared" ref="H81" si="107">SUM(H79:H80)</f>
        <v>0</v>
      </c>
      <c r="I81" s="140">
        <f t="shared" ref="I81" si="108">SUM(I79:I80)</f>
        <v>0</v>
      </c>
      <c r="J81" s="140">
        <f t="shared" ref="J81:K81" si="109">SUM(J79:J80)</f>
        <v>0</v>
      </c>
      <c r="K81" s="140">
        <f t="shared" si="109"/>
        <v>0</v>
      </c>
      <c r="L81" s="141">
        <f t="shared" ref="L81" si="110">SUM(L79:L80)</f>
        <v>113000</v>
      </c>
    </row>
    <row r="82" spans="1:13" s="91" customFormat="1" ht="17.100000000000001" customHeight="1" x14ac:dyDescent="0.25">
      <c r="A82" s="751" t="s">
        <v>197</v>
      </c>
      <c r="B82" s="648" t="s">
        <v>337</v>
      </c>
      <c r="C82" s="757">
        <v>780000</v>
      </c>
      <c r="D82" s="757">
        <v>780000</v>
      </c>
      <c r="E82" s="133" t="s">
        <v>140</v>
      </c>
      <c r="F82" s="136">
        <v>0</v>
      </c>
      <c r="G82" s="136">
        <v>0</v>
      </c>
      <c r="H82" s="136">
        <v>780000</v>
      </c>
      <c r="I82" s="136">
        <v>0</v>
      </c>
      <c r="J82" s="136">
        <v>0</v>
      </c>
      <c r="K82" s="136">
        <v>0</v>
      </c>
      <c r="L82" s="137">
        <f>SUM(F82:J82)</f>
        <v>780000</v>
      </c>
    </row>
    <row r="83" spans="1:13" s="91" customFormat="1" ht="17.100000000000001" customHeight="1" x14ac:dyDescent="0.25">
      <c r="A83" s="752"/>
      <c r="B83" s="646"/>
      <c r="C83" s="758"/>
      <c r="D83" s="758"/>
      <c r="E83" s="132" t="s">
        <v>141</v>
      </c>
      <c r="F83" s="138">
        <v>0</v>
      </c>
      <c r="G83" s="138">
        <v>0</v>
      </c>
      <c r="H83" s="138">
        <v>0</v>
      </c>
      <c r="I83" s="138">
        <v>0</v>
      </c>
      <c r="J83" s="138">
        <v>0</v>
      </c>
      <c r="K83" s="138">
        <v>0</v>
      </c>
      <c r="L83" s="139">
        <f>SUM(F83:J83)</f>
        <v>0</v>
      </c>
    </row>
    <row r="84" spans="1:13" s="91" customFormat="1" ht="17.100000000000001" customHeight="1" thickBot="1" x14ac:dyDescent="0.3">
      <c r="A84" s="753"/>
      <c r="B84" s="647"/>
      <c r="C84" s="759"/>
      <c r="D84" s="759"/>
      <c r="E84" s="134" t="s">
        <v>105</v>
      </c>
      <c r="F84" s="140">
        <f>SUM(F82:F83)</f>
        <v>0</v>
      </c>
      <c r="G84" s="140">
        <f t="shared" ref="G84" si="111">SUM(G82:G83)</f>
        <v>0</v>
      </c>
      <c r="H84" s="140">
        <f t="shared" ref="H84" si="112">SUM(H82:H83)</f>
        <v>780000</v>
      </c>
      <c r="I84" s="140">
        <f t="shared" ref="I84" si="113">SUM(I82:I83)</f>
        <v>0</v>
      </c>
      <c r="J84" s="140">
        <f t="shared" ref="J84:K84" si="114">SUM(J82:J83)</f>
        <v>0</v>
      </c>
      <c r="K84" s="140">
        <f t="shared" si="114"/>
        <v>0</v>
      </c>
      <c r="L84" s="141">
        <f t="shared" ref="L84" si="115">SUM(L82:L83)</f>
        <v>780000</v>
      </c>
    </row>
    <row r="85" spans="1:13" s="91" customFormat="1" ht="15" customHeight="1" x14ac:dyDescent="0.25">
      <c r="A85" s="751" t="s">
        <v>200</v>
      </c>
      <c r="B85" s="765" t="s">
        <v>281</v>
      </c>
      <c r="C85" s="757">
        <v>7299129</v>
      </c>
      <c r="D85" s="757">
        <v>7299129</v>
      </c>
      <c r="E85" s="133" t="s">
        <v>140</v>
      </c>
      <c r="F85" s="136">
        <v>0</v>
      </c>
      <c r="G85" s="136">
        <v>0</v>
      </c>
      <c r="H85" s="136">
        <v>0</v>
      </c>
      <c r="I85" s="136">
        <f>C85</f>
        <v>7299129</v>
      </c>
      <c r="J85" s="136">
        <v>0</v>
      </c>
      <c r="K85" s="136">
        <v>0</v>
      </c>
      <c r="L85" s="137">
        <f>SUM(F85:J85)</f>
        <v>7299129</v>
      </c>
    </row>
    <row r="86" spans="1:13" s="91" customFormat="1" ht="15" customHeight="1" x14ac:dyDescent="0.25">
      <c r="A86" s="752"/>
      <c r="B86" s="766"/>
      <c r="C86" s="758"/>
      <c r="D86" s="758"/>
      <c r="E86" s="132" t="s">
        <v>141</v>
      </c>
      <c r="F86" s="138">
        <v>0</v>
      </c>
      <c r="G86" s="138">
        <v>0</v>
      </c>
      <c r="H86" s="138">
        <v>0</v>
      </c>
      <c r="I86" s="138">
        <v>0</v>
      </c>
      <c r="J86" s="138">
        <v>0</v>
      </c>
      <c r="K86" s="138">
        <v>0</v>
      </c>
      <c r="L86" s="139">
        <f>SUM(F86:J86)</f>
        <v>0</v>
      </c>
    </row>
    <row r="87" spans="1:13" s="91" customFormat="1" ht="15" customHeight="1" thickBot="1" x14ac:dyDescent="0.3">
      <c r="A87" s="753"/>
      <c r="B87" s="767"/>
      <c r="C87" s="759"/>
      <c r="D87" s="759"/>
      <c r="E87" s="134" t="s">
        <v>105</v>
      </c>
      <c r="F87" s="140">
        <f>SUM(F85:F86)</f>
        <v>0</v>
      </c>
      <c r="G87" s="140">
        <f t="shared" ref="G87:L87" si="116">SUM(G85:G86)</f>
        <v>0</v>
      </c>
      <c r="H87" s="140">
        <f t="shared" si="116"/>
        <v>0</v>
      </c>
      <c r="I87" s="140">
        <f t="shared" si="116"/>
        <v>7299129</v>
      </c>
      <c r="J87" s="140">
        <f t="shared" si="116"/>
        <v>0</v>
      </c>
      <c r="K87" s="140">
        <f t="shared" si="116"/>
        <v>0</v>
      </c>
      <c r="L87" s="141">
        <f t="shared" si="116"/>
        <v>7299129</v>
      </c>
    </row>
    <row r="88" spans="1:13" s="91" customFormat="1" ht="15" customHeight="1" x14ac:dyDescent="0.25">
      <c r="A88" s="751" t="s">
        <v>203</v>
      </c>
      <c r="B88" s="768" t="s">
        <v>280</v>
      </c>
      <c r="C88" s="757">
        <v>1671064</v>
      </c>
      <c r="D88" s="757">
        <v>1671064</v>
      </c>
      <c r="E88" s="133" t="s">
        <v>140</v>
      </c>
      <c r="F88" s="136">
        <v>0</v>
      </c>
      <c r="G88" s="136">
        <v>0</v>
      </c>
      <c r="H88" s="136">
        <v>0</v>
      </c>
      <c r="I88" s="136">
        <v>1671064</v>
      </c>
      <c r="J88" s="136">
        <v>0</v>
      </c>
      <c r="K88" s="136">
        <v>0</v>
      </c>
      <c r="L88" s="137">
        <f>SUM(F88:J88)</f>
        <v>1671064</v>
      </c>
    </row>
    <row r="89" spans="1:13" s="91" customFormat="1" ht="15" customHeight="1" x14ac:dyDescent="0.25">
      <c r="A89" s="752"/>
      <c r="B89" s="769"/>
      <c r="C89" s="758"/>
      <c r="D89" s="758"/>
      <c r="E89" s="132" t="s">
        <v>141</v>
      </c>
      <c r="F89" s="138">
        <v>0</v>
      </c>
      <c r="G89" s="138">
        <v>0</v>
      </c>
      <c r="H89" s="138">
        <v>0</v>
      </c>
      <c r="I89" s="138">
        <v>0</v>
      </c>
      <c r="J89" s="138">
        <v>0</v>
      </c>
      <c r="K89" s="138">
        <v>0</v>
      </c>
      <c r="L89" s="139">
        <f>SUM(F89:J89)</f>
        <v>0</v>
      </c>
    </row>
    <row r="90" spans="1:13" s="91" customFormat="1" ht="15" customHeight="1" thickBot="1" x14ac:dyDescent="0.3">
      <c r="A90" s="753"/>
      <c r="B90" s="770"/>
      <c r="C90" s="759"/>
      <c r="D90" s="759"/>
      <c r="E90" s="134" t="s">
        <v>105</v>
      </c>
      <c r="F90" s="140">
        <f>SUM(F88:F89)</f>
        <v>0</v>
      </c>
      <c r="G90" s="140">
        <f t="shared" ref="G90:L90" si="117">SUM(G88:G89)</f>
        <v>0</v>
      </c>
      <c r="H90" s="140">
        <f t="shared" si="117"/>
        <v>0</v>
      </c>
      <c r="I90" s="140">
        <f t="shared" si="117"/>
        <v>1671064</v>
      </c>
      <c r="J90" s="140">
        <f t="shared" si="117"/>
        <v>0</v>
      </c>
      <c r="K90" s="140">
        <f t="shared" si="117"/>
        <v>0</v>
      </c>
      <c r="L90" s="141">
        <f t="shared" si="117"/>
        <v>1671064</v>
      </c>
    </row>
    <row r="91" spans="1:13" s="91" customFormat="1" ht="15" customHeight="1" x14ac:dyDescent="0.25">
      <c r="A91" s="751" t="s">
        <v>206</v>
      </c>
      <c r="B91" s="765" t="s">
        <v>282</v>
      </c>
      <c r="C91" s="757">
        <v>16298511</v>
      </c>
      <c r="D91" s="757">
        <v>16298511</v>
      </c>
      <c r="E91" s="133" t="s">
        <v>140</v>
      </c>
      <c r="F91" s="136">
        <v>0</v>
      </c>
      <c r="G91" s="136">
        <v>0</v>
      </c>
      <c r="H91" s="136">
        <v>0</v>
      </c>
      <c r="I91" s="136">
        <f>C91</f>
        <v>16298511</v>
      </c>
      <c r="J91" s="136">
        <v>0</v>
      </c>
      <c r="K91" s="136">
        <v>0</v>
      </c>
      <c r="L91" s="137">
        <f>SUM(F91:J91)</f>
        <v>16298511</v>
      </c>
    </row>
    <row r="92" spans="1:13" s="91" customFormat="1" ht="15" customHeight="1" x14ac:dyDescent="0.25">
      <c r="A92" s="752"/>
      <c r="B92" s="766"/>
      <c r="C92" s="758"/>
      <c r="D92" s="758"/>
      <c r="E92" s="132" t="s">
        <v>141</v>
      </c>
      <c r="F92" s="138">
        <v>0</v>
      </c>
      <c r="G92" s="138">
        <v>0</v>
      </c>
      <c r="H92" s="138">
        <v>0</v>
      </c>
      <c r="I92" s="138">
        <v>0</v>
      </c>
      <c r="J92" s="138">
        <v>0</v>
      </c>
      <c r="K92" s="138">
        <v>0</v>
      </c>
      <c r="L92" s="139">
        <f>SUM(F92:J92)</f>
        <v>0</v>
      </c>
    </row>
    <row r="93" spans="1:13" s="91" customFormat="1" ht="15" customHeight="1" thickBot="1" x14ac:dyDescent="0.3">
      <c r="A93" s="753"/>
      <c r="B93" s="767"/>
      <c r="C93" s="759"/>
      <c r="D93" s="759"/>
      <c r="E93" s="134" t="s">
        <v>105</v>
      </c>
      <c r="F93" s="140">
        <f>SUM(F91:F92)</f>
        <v>0</v>
      </c>
      <c r="G93" s="140">
        <f t="shared" ref="G93:L93" si="118">SUM(G91:G92)</f>
        <v>0</v>
      </c>
      <c r="H93" s="140">
        <f t="shared" si="118"/>
        <v>0</v>
      </c>
      <c r="I93" s="140">
        <f t="shared" si="118"/>
        <v>16298511</v>
      </c>
      <c r="J93" s="140">
        <f t="shared" si="118"/>
        <v>0</v>
      </c>
      <c r="K93" s="140">
        <f t="shared" si="118"/>
        <v>0</v>
      </c>
      <c r="L93" s="141">
        <f t="shared" si="118"/>
        <v>16298511</v>
      </c>
    </row>
    <row r="94" spans="1:13" s="91" customFormat="1" ht="15" customHeight="1" x14ac:dyDescent="0.25">
      <c r="A94" s="751" t="s">
        <v>209</v>
      </c>
      <c r="B94" s="768" t="s">
        <v>283</v>
      </c>
      <c r="C94" s="754">
        <v>2051902</v>
      </c>
      <c r="D94" s="757">
        <v>2050612</v>
      </c>
      <c r="E94" s="133" t="s">
        <v>140</v>
      </c>
      <c r="F94" s="136">
        <v>0</v>
      </c>
      <c r="G94" s="136">
        <v>0</v>
      </c>
      <c r="H94" s="136">
        <v>0</v>
      </c>
      <c r="I94" s="136">
        <f>C94</f>
        <v>2051902</v>
      </c>
      <c r="J94" s="136">
        <v>0</v>
      </c>
      <c r="K94" s="136">
        <v>0</v>
      </c>
      <c r="L94" s="137">
        <f>SUM(F94:J94)</f>
        <v>2051902</v>
      </c>
      <c r="M94" s="454"/>
    </row>
    <row r="95" spans="1:13" s="91" customFormat="1" ht="15" customHeight="1" x14ac:dyDescent="0.25">
      <c r="A95" s="752"/>
      <c r="B95" s="769"/>
      <c r="C95" s="755"/>
      <c r="D95" s="758"/>
      <c r="E95" s="132" t="s">
        <v>141</v>
      </c>
      <c r="F95" s="138">
        <v>0</v>
      </c>
      <c r="G95" s="138">
        <v>0</v>
      </c>
      <c r="H95" s="138">
        <v>0</v>
      </c>
      <c r="I95" s="138">
        <v>0</v>
      </c>
      <c r="J95" s="138">
        <v>0</v>
      </c>
      <c r="K95" s="138">
        <v>0</v>
      </c>
      <c r="L95" s="139">
        <f>SUM(F95:J95)</f>
        <v>0</v>
      </c>
    </row>
    <row r="96" spans="1:13" s="91" customFormat="1" ht="15" customHeight="1" thickBot="1" x14ac:dyDescent="0.3">
      <c r="A96" s="753"/>
      <c r="B96" s="770"/>
      <c r="C96" s="756"/>
      <c r="D96" s="759"/>
      <c r="E96" s="134" t="s">
        <v>105</v>
      </c>
      <c r="F96" s="140">
        <f>SUM(F94:F95)</f>
        <v>0</v>
      </c>
      <c r="G96" s="140">
        <f t="shared" ref="G96:L96" si="119">SUM(G94:G95)</f>
        <v>0</v>
      </c>
      <c r="H96" s="140">
        <f t="shared" si="119"/>
        <v>0</v>
      </c>
      <c r="I96" s="140">
        <f t="shared" si="119"/>
        <v>2051902</v>
      </c>
      <c r="J96" s="140">
        <f t="shared" si="119"/>
        <v>0</v>
      </c>
      <c r="K96" s="140">
        <f t="shared" si="119"/>
        <v>0</v>
      </c>
      <c r="L96" s="141">
        <f t="shared" si="119"/>
        <v>2051902</v>
      </c>
      <c r="M96" s="154"/>
    </row>
    <row r="97" spans="1:13" s="91" customFormat="1" ht="15" customHeight="1" x14ac:dyDescent="0.25">
      <c r="A97" s="751" t="s">
        <v>230</v>
      </c>
      <c r="B97" s="765" t="s">
        <v>284</v>
      </c>
      <c r="C97" s="757">
        <v>17941118</v>
      </c>
      <c r="D97" s="757">
        <v>17941118</v>
      </c>
      <c r="E97" s="133" t="s">
        <v>140</v>
      </c>
      <c r="F97" s="136">
        <v>0</v>
      </c>
      <c r="G97" s="136">
        <v>0</v>
      </c>
      <c r="H97" s="136">
        <v>0</v>
      </c>
      <c r="I97" s="136">
        <f>C97</f>
        <v>17941118</v>
      </c>
      <c r="J97" s="136">
        <v>0</v>
      </c>
      <c r="K97" s="136">
        <v>0</v>
      </c>
      <c r="L97" s="137">
        <f>SUM(F97:J97)</f>
        <v>17941118</v>
      </c>
      <c r="M97" s="162"/>
    </row>
    <row r="98" spans="1:13" s="91" customFormat="1" ht="15" customHeight="1" x14ac:dyDescent="0.25">
      <c r="A98" s="752"/>
      <c r="B98" s="766"/>
      <c r="C98" s="758"/>
      <c r="D98" s="758"/>
      <c r="E98" s="132" t="s">
        <v>141</v>
      </c>
      <c r="F98" s="138">
        <v>0</v>
      </c>
      <c r="G98" s="138">
        <v>0</v>
      </c>
      <c r="H98" s="138">
        <v>0</v>
      </c>
      <c r="I98" s="138">
        <v>0</v>
      </c>
      <c r="J98" s="138">
        <v>0</v>
      </c>
      <c r="K98" s="138">
        <v>0</v>
      </c>
      <c r="L98" s="139">
        <f>SUM(F98:J98)</f>
        <v>0</v>
      </c>
      <c r="M98" s="162"/>
    </row>
    <row r="99" spans="1:13" s="91" customFormat="1" ht="15" customHeight="1" thickBot="1" x14ac:dyDescent="0.3">
      <c r="A99" s="753"/>
      <c r="B99" s="767"/>
      <c r="C99" s="759"/>
      <c r="D99" s="759"/>
      <c r="E99" s="134" t="s">
        <v>105</v>
      </c>
      <c r="F99" s="140">
        <f>SUM(F97:F98)</f>
        <v>0</v>
      </c>
      <c r="G99" s="140">
        <f t="shared" ref="G99:L99" si="120">SUM(G97:G98)</f>
        <v>0</v>
      </c>
      <c r="H99" s="140">
        <f t="shared" si="120"/>
        <v>0</v>
      </c>
      <c r="I99" s="140">
        <f t="shared" si="120"/>
        <v>17941118</v>
      </c>
      <c r="J99" s="140">
        <f t="shared" si="120"/>
        <v>0</v>
      </c>
      <c r="K99" s="140">
        <f t="shared" si="120"/>
        <v>0</v>
      </c>
      <c r="L99" s="141">
        <f t="shared" si="120"/>
        <v>17941118</v>
      </c>
      <c r="M99" s="162"/>
    </row>
    <row r="100" spans="1:13" s="91" customFormat="1" ht="17.100000000000001" customHeight="1" x14ac:dyDescent="0.25">
      <c r="A100" s="751" t="s">
        <v>231</v>
      </c>
      <c r="B100" s="768" t="s">
        <v>285</v>
      </c>
      <c r="C100" s="754">
        <v>2203504</v>
      </c>
      <c r="D100" s="757">
        <v>2202120</v>
      </c>
      <c r="E100" s="133" t="s">
        <v>140</v>
      </c>
      <c r="F100" s="136">
        <v>0</v>
      </c>
      <c r="G100" s="136">
        <v>0</v>
      </c>
      <c r="H100" s="136">
        <v>0</v>
      </c>
      <c r="I100" s="136">
        <f>C100</f>
        <v>2203504</v>
      </c>
      <c r="J100" s="136">
        <v>0</v>
      </c>
      <c r="K100" s="136">
        <v>0</v>
      </c>
      <c r="L100" s="137">
        <f>SUM(F100:J100)</f>
        <v>2203504</v>
      </c>
      <c r="M100" s="162"/>
    </row>
    <row r="101" spans="1:13" s="91" customFormat="1" ht="17.100000000000001" customHeight="1" x14ac:dyDescent="0.25">
      <c r="A101" s="752"/>
      <c r="B101" s="769"/>
      <c r="C101" s="755"/>
      <c r="D101" s="758"/>
      <c r="E101" s="132" t="s">
        <v>141</v>
      </c>
      <c r="F101" s="138">
        <v>0</v>
      </c>
      <c r="G101" s="138">
        <v>0</v>
      </c>
      <c r="H101" s="138">
        <v>0</v>
      </c>
      <c r="I101" s="138">
        <v>0</v>
      </c>
      <c r="J101" s="138">
        <v>0</v>
      </c>
      <c r="K101" s="138">
        <v>0</v>
      </c>
      <c r="L101" s="139">
        <f>SUM(F101:J101)</f>
        <v>0</v>
      </c>
      <c r="M101" s="162"/>
    </row>
    <row r="102" spans="1:13" s="91" customFormat="1" ht="17.100000000000001" customHeight="1" thickBot="1" x14ac:dyDescent="0.3">
      <c r="A102" s="753"/>
      <c r="B102" s="770"/>
      <c r="C102" s="756"/>
      <c r="D102" s="759"/>
      <c r="E102" s="134" t="s">
        <v>105</v>
      </c>
      <c r="F102" s="140">
        <f>SUM(F100:F101)</f>
        <v>0</v>
      </c>
      <c r="G102" s="140">
        <f t="shared" ref="G102:L102" si="121">SUM(G100:G101)</f>
        <v>0</v>
      </c>
      <c r="H102" s="140">
        <f t="shared" si="121"/>
        <v>0</v>
      </c>
      <c r="I102" s="140">
        <f t="shared" si="121"/>
        <v>2203504</v>
      </c>
      <c r="J102" s="140">
        <f t="shared" si="121"/>
        <v>0</v>
      </c>
      <c r="K102" s="140">
        <f t="shared" si="121"/>
        <v>0</v>
      </c>
      <c r="L102" s="141">
        <f t="shared" si="121"/>
        <v>2203504</v>
      </c>
      <c r="M102" s="154"/>
    </row>
    <row r="103" spans="1:13" s="91" customFormat="1" ht="15" customHeight="1" x14ac:dyDescent="0.25">
      <c r="A103" s="751" t="s">
        <v>232</v>
      </c>
      <c r="B103" s="765" t="s">
        <v>338</v>
      </c>
      <c r="C103" s="757">
        <v>12735125</v>
      </c>
      <c r="D103" s="757">
        <v>12735125</v>
      </c>
      <c r="E103" s="133" t="s">
        <v>140</v>
      </c>
      <c r="F103" s="136">
        <v>0</v>
      </c>
      <c r="G103" s="136">
        <v>0</v>
      </c>
      <c r="H103" s="136">
        <v>0</v>
      </c>
      <c r="I103" s="136">
        <f>C103</f>
        <v>12735125</v>
      </c>
      <c r="J103" s="136">
        <v>0</v>
      </c>
      <c r="K103" s="136">
        <v>0</v>
      </c>
      <c r="L103" s="137">
        <f>SUM(F103:J103)</f>
        <v>12735125</v>
      </c>
    </row>
    <row r="104" spans="1:13" s="91" customFormat="1" ht="15" customHeight="1" x14ac:dyDescent="0.25">
      <c r="A104" s="752"/>
      <c r="B104" s="766"/>
      <c r="C104" s="758"/>
      <c r="D104" s="758"/>
      <c r="E104" s="132" t="s">
        <v>141</v>
      </c>
      <c r="F104" s="138">
        <v>0</v>
      </c>
      <c r="G104" s="138">
        <v>0</v>
      </c>
      <c r="H104" s="138">
        <v>0</v>
      </c>
      <c r="I104" s="138">
        <v>0</v>
      </c>
      <c r="J104" s="138">
        <v>0</v>
      </c>
      <c r="K104" s="138">
        <v>0</v>
      </c>
      <c r="L104" s="139">
        <f>SUM(F104:J104)</f>
        <v>0</v>
      </c>
    </row>
    <row r="105" spans="1:13" s="91" customFormat="1" ht="15" customHeight="1" thickBot="1" x14ac:dyDescent="0.3">
      <c r="A105" s="753"/>
      <c r="B105" s="767"/>
      <c r="C105" s="759"/>
      <c r="D105" s="759"/>
      <c r="E105" s="134" t="s">
        <v>105</v>
      </c>
      <c r="F105" s="140">
        <f>SUM(F103:F104)</f>
        <v>0</v>
      </c>
      <c r="G105" s="140">
        <f t="shared" ref="G105:L105" si="122">SUM(G103:G104)</f>
        <v>0</v>
      </c>
      <c r="H105" s="140">
        <f t="shared" si="122"/>
        <v>0</v>
      </c>
      <c r="I105" s="140">
        <f t="shared" si="122"/>
        <v>12735125</v>
      </c>
      <c r="J105" s="140">
        <f t="shared" si="122"/>
        <v>0</v>
      </c>
      <c r="K105" s="140">
        <f t="shared" si="122"/>
        <v>0</v>
      </c>
      <c r="L105" s="141">
        <f t="shared" si="122"/>
        <v>12735125</v>
      </c>
    </row>
    <row r="106" spans="1:13" s="91" customFormat="1" ht="15" customHeight="1" x14ac:dyDescent="0.25">
      <c r="A106" s="751" t="s">
        <v>233</v>
      </c>
      <c r="B106" s="768" t="s">
        <v>339</v>
      </c>
      <c r="C106" s="757">
        <v>1932496</v>
      </c>
      <c r="D106" s="757">
        <v>1932496</v>
      </c>
      <c r="E106" s="133" t="s">
        <v>140</v>
      </c>
      <c r="F106" s="136">
        <v>0</v>
      </c>
      <c r="G106" s="136">
        <v>0</v>
      </c>
      <c r="H106" s="136">
        <v>0</v>
      </c>
      <c r="I106" s="136">
        <f>C106</f>
        <v>1932496</v>
      </c>
      <c r="J106" s="136">
        <v>0</v>
      </c>
      <c r="K106" s="136">
        <v>0</v>
      </c>
      <c r="L106" s="137">
        <f>SUM(F106:J106)</f>
        <v>1932496</v>
      </c>
    </row>
    <row r="107" spans="1:13" s="91" customFormat="1" ht="15" customHeight="1" x14ac:dyDescent="0.25">
      <c r="A107" s="752"/>
      <c r="B107" s="769"/>
      <c r="C107" s="758"/>
      <c r="D107" s="758"/>
      <c r="E107" s="132" t="s">
        <v>141</v>
      </c>
      <c r="F107" s="138">
        <v>0</v>
      </c>
      <c r="G107" s="138">
        <v>0</v>
      </c>
      <c r="H107" s="138">
        <v>0</v>
      </c>
      <c r="I107" s="138">
        <v>0</v>
      </c>
      <c r="J107" s="138">
        <v>0</v>
      </c>
      <c r="K107" s="138">
        <v>0</v>
      </c>
      <c r="L107" s="139">
        <f>SUM(F107:J107)</f>
        <v>0</v>
      </c>
    </row>
    <row r="108" spans="1:13" s="91" customFormat="1" ht="15" customHeight="1" thickBot="1" x14ac:dyDescent="0.3">
      <c r="A108" s="753"/>
      <c r="B108" s="770"/>
      <c r="C108" s="759"/>
      <c r="D108" s="759"/>
      <c r="E108" s="134" t="s">
        <v>105</v>
      </c>
      <c r="F108" s="140">
        <f>SUM(F106:F107)</f>
        <v>0</v>
      </c>
      <c r="G108" s="140">
        <f t="shared" ref="G108:L108" si="123">SUM(G106:G107)</f>
        <v>0</v>
      </c>
      <c r="H108" s="140">
        <f t="shared" si="123"/>
        <v>0</v>
      </c>
      <c r="I108" s="140">
        <f t="shared" si="123"/>
        <v>1932496</v>
      </c>
      <c r="J108" s="140">
        <f t="shared" si="123"/>
        <v>0</v>
      </c>
      <c r="K108" s="140">
        <f t="shared" si="123"/>
        <v>0</v>
      </c>
      <c r="L108" s="141">
        <f t="shared" si="123"/>
        <v>1932496</v>
      </c>
    </row>
    <row r="109" spans="1:13" s="91" customFormat="1" ht="15" customHeight="1" x14ac:dyDescent="0.25">
      <c r="A109" s="751" t="s">
        <v>234</v>
      </c>
      <c r="B109" s="765" t="s">
        <v>340</v>
      </c>
      <c r="C109" s="757">
        <v>13353101</v>
      </c>
      <c r="D109" s="757">
        <v>13353101</v>
      </c>
      <c r="E109" s="133" t="s">
        <v>140</v>
      </c>
      <c r="F109" s="136">
        <v>0</v>
      </c>
      <c r="G109" s="136">
        <v>0</v>
      </c>
      <c r="H109" s="136">
        <v>0</v>
      </c>
      <c r="I109" s="136">
        <f>C109</f>
        <v>13353101</v>
      </c>
      <c r="J109" s="136">
        <v>0</v>
      </c>
      <c r="K109" s="136">
        <v>0</v>
      </c>
      <c r="L109" s="137">
        <f>SUM(F109:J109)</f>
        <v>13353101</v>
      </c>
    </row>
    <row r="110" spans="1:13" s="91" customFormat="1" ht="15" customHeight="1" x14ac:dyDescent="0.25">
      <c r="A110" s="752"/>
      <c r="B110" s="766"/>
      <c r="C110" s="758"/>
      <c r="D110" s="758"/>
      <c r="E110" s="132" t="s">
        <v>141</v>
      </c>
      <c r="F110" s="138">
        <v>0</v>
      </c>
      <c r="G110" s="138">
        <v>0</v>
      </c>
      <c r="H110" s="138">
        <v>0</v>
      </c>
      <c r="I110" s="138">
        <v>0</v>
      </c>
      <c r="J110" s="138">
        <v>0</v>
      </c>
      <c r="K110" s="138">
        <v>0</v>
      </c>
      <c r="L110" s="139">
        <f>SUM(F110:J110)</f>
        <v>0</v>
      </c>
    </row>
    <row r="111" spans="1:13" s="91" customFormat="1" ht="15" customHeight="1" thickBot="1" x14ac:dyDescent="0.3">
      <c r="A111" s="753"/>
      <c r="B111" s="767"/>
      <c r="C111" s="759"/>
      <c r="D111" s="759"/>
      <c r="E111" s="134" t="s">
        <v>105</v>
      </c>
      <c r="F111" s="140">
        <f>SUM(F109:F110)</f>
        <v>0</v>
      </c>
      <c r="G111" s="140">
        <f t="shared" ref="G111:L111" si="124">SUM(G109:G110)</f>
        <v>0</v>
      </c>
      <c r="H111" s="140">
        <f t="shared" si="124"/>
        <v>0</v>
      </c>
      <c r="I111" s="140">
        <f t="shared" si="124"/>
        <v>13353101</v>
      </c>
      <c r="J111" s="140">
        <f t="shared" si="124"/>
        <v>0</v>
      </c>
      <c r="K111" s="140">
        <f t="shared" si="124"/>
        <v>0</v>
      </c>
      <c r="L111" s="141">
        <f t="shared" si="124"/>
        <v>13353101</v>
      </c>
    </row>
    <row r="112" spans="1:13" s="91" customFormat="1" ht="15" customHeight="1" x14ac:dyDescent="0.25">
      <c r="A112" s="751" t="s">
        <v>238</v>
      </c>
      <c r="B112" s="768" t="s">
        <v>341</v>
      </c>
      <c r="C112" s="757">
        <v>1804060</v>
      </c>
      <c r="D112" s="757">
        <v>1804060</v>
      </c>
      <c r="E112" s="133" t="s">
        <v>140</v>
      </c>
      <c r="F112" s="136">
        <v>0</v>
      </c>
      <c r="G112" s="136">
        <v>0</v>
      </c>
      <c r="H112" s="136">
        <v>0</v>
      </c>
      <c r="I112" s="136">
        <f>C112</f>
        <v>1804060</v>
      </c>
      <c r="J112" s="136">
        <v>0</v>
      </c>
      <c r="K112" s="136">
        <v>0</v>
      </c>
      <c r="L112" s="137">
        <f>SUM(F112:J112)</f>
        <v>1804060</v>
      </c>
    </row>
    <row r="113" spans="1:17" s="91" customFormat="1" ht="15" customHeight="1" x14ac:dyDescent="0.25">
      <c r="A113" s="752"/>
      <c r="B113" s="769"/>
      <c r="C113" s="758"/>
      <c r="D113" s="758"/>
      <c r="E113" s="132" t="s">
        <v>141</v>
      </c>
      <c r="F113" s="138">
        <v>0</v>
      </c>
      <c r="G113" s="138">
        <v>0</v>
      </c>
      <c r="H113" s="138">
        <v>0</v>
      </c>
      <c r="I113" s="138">
        <v>0</v>
      </c>
      <c r="J113" s="138">
        <v>0</v>
      </c>
      <c r="K113" s="138">
        <v>0</v>
      </c>
      <c r="L113" s="139">
        <f>SUM(F113:J113)</f>
        <v>0</v>
      </c>
    </row>
    <row r="114" spans="1:17" s="91" customFormat="1" ht="15" customHeight="1" thickBot="1" x14ac:dyDescent="0.3">
      <c r="A114" s="753"/>
      <c r="B114" s="770"/>
      <c r="C114" s="759"/>
      <c r="D114" s="759"/>
      <c r="E114" s="134" t="s">
        <v>105</v>
      </c>
      <c r="F114" s="140">
        <f>SUM(F112:F113)</f>
        <v>0</v>
      </c>
      <c r="G114" s="140">
        <f t="shared" ref="G114:L114" si="125">SUM(G112:G113)</f>
        <v>0</v>
      </c>
      <c r="H114" s="140">
        <f t="shared" si="125"/>
        <v>0</v>
      </c>
      <c r="I114" s="140">
        <f t="shared" si="125"/>
        <v>1804060</v>
      </c>
      <c r="J114" s="140">
        <f t="shared" si="125"/>
        <v>0</v>
      </c>
      <c r="K114" s="140">
        <f t="shared" si="125"/>
        <v>0</v>
      </c>
      <c r="L114" s="141">
        <f t="shared" si="125"/>
        <v>1804060</v>
      </c>
      <c r="M114" s="162"/>
    </row>
    <row r="115" spans="1:17" s="91" customFormat="1" ht="17.100000000000001" customHeight="1" x14ac:dyDescent="0.25">
      <c r="A115" s="751" t="s">
        <v>239</v>
      </c>
      <c r="B115" s="765" t="s">
        <v>342</v>
      </c>
      <c r="C115" s="757">
        <v>10501978</v>
      </c>
      <c r="D115" s="757">
        <v>10501978</v>
      </c>
      <c r="E115" s="133" t="s">
        <v>140</v>
      </c>
      <c r="F115" s="136">
        <v>0</v>
      </c>
      <c r="G115" s="136">
        <v>0</v>
      </c>
      <c r="H115" s="136">
        <v>10501978</v>
      </c>
      <c r="I115" s="136">
        <v>0</v>
      </c>
      <c r="J115" s="136">
        <v>0</v>
      </c>
      <c r="K115" s="136">
        <v>0</v>
      </c>
      <c r="L115" s="137">
        <f>SUM(F115:J115)</f>
        <v>10501978</v>
      </c>
    </row>
    <row r="116" spans="1:17" s="91" customFormat="1" ht="17.100000000000001" customHeight="1" x14ac:dyDescent="0.25">
      <c r="A116" s="752"/>
      <c r="B116" s="766"/>
      <c r="C116" s="758"/>
      <c r="D116" s="758"/>
      <c r="E116" s="132" t="s">
        <v>141</v>
      </c>
      <c r="F116" s="138">
        <v>0</v>
      </c>
      <c r="G116" s="138">
        <v>0</v>
      </c>
      <c r="H116" s="138">
        <v>0</v>
      </c>
      <c r="I116" s="138">
        <v>0</v>
      </c>
      <c r="J116" s="138">
        <v>0</v>
      </c>
      <c r="K116" s="138">
        <v>0</v>
      </c>
      <c r="L116" s="139">
        <f>SUM(F116:J116)</f>
        <v>0</v>
      </c>
      <c r="M116" s="763"/>
      <c r="N116" s="764"/>
      <c r="O116" s="764"/>
      <c r="P116" s="764"/>
      <c r="Q116" s="764"/>
    </row>
    <row r="117" spans="1:17" s="91" customFormat="1" ht="17.100000000000001" customHeight="1" thickBot="1" x14ac:dyDescent="0.3">
      <c r="A117" s="753"/>
      <c r="B117" s="767"/>
      <c r="C117" s="759"/>
      <c r="D117" s="759"/>
      <c r="E117" s="134" t="s">
        <v>105</v>
      </c>
      <c r="F117" s="140">
        <f>SUM(F115:F116)</f>
        <v>0</v>
      </c>
      <c r="G117" s="140">
        <f t="shared" ref="G117" si="126">SUM(G115:G116)</f>
        <v>0</v>
      </c>
      <c r="H117" s="140">
        <f t="shared" ref="H117" si="127">SUM(H115:H116)</f>
        <v>10501978</v>
      </c>
      <c r="I117" s="140">
        <f t="shared" ref="I117" si="128">SUM(I115:I116)</f>
        <v>0</v>
      </c>
      <c r="J117" s="140">
        <f t="shared" ref="J117" si="129">SUM(J115:J116)</f>
        <v>0</v>
      </c>
      <c r="K117" s="140">
        <f t="shared" ref="K117" si="130">SUM(K115:K116)</f>
        <v>0</v>
      </c>
      <c r="L117" s="141">
        <f t="shared" ref="L117" si="131">SUM(L115:L116)</f>
        <v>10501978</v>
      </c>
      <c r="M117" s="763"/>
      <c r="N117" s="764"/>
      <c r="O117" s="764"/>
      <c r="P117" s="764"/>
      <c r="Q117" s="764"/>
    </row>
    <row r="118" spans="1:17" s="91" customFormat="1" ht="15" customHeight="1" x14ac:dyDescent="0.25">
      <c r="A118" s="751" t="s">
        <v>240</v>
      </c>
      <c r="B118" s="768" t="s">
        <v>346</v>
      </c>
      <c r="C118" s="754">
        <v>9998626</v>
      </c>
      <c r="D118" s="754">
        <v>6173626</v>
      </c>
      <c r="E118" s="133" t="s">
        <v>140</v>
      </c>
      <c r="F118" s="136">
        <v>2500000</v>
      </c>
      <c r="G118" s="136">
        <v>325000</v>
      </c>
      <c r="H118" s="136">
        <v>7173626</v>
      </c>
      <c r="I118" s="136">
        <v>0</v>
      </c>
      <c r="J118" s="136">
        <v>0</v>
      </c>
      <c r="K118" s="136">
        <v>0</v>
      </c>
      <c r="L118" s="137">
        <f>SUM(F118:J118)</f>
        <v>9998626</v>
      </c>
      <c r="M118" s="763"/>
      <c r="N118" s="764"/>
      <c r="O118" s="764"/>
      <c r="P118" s="764"/>
      <c r="Q118" s="764"/>
    </row>
    <row r="119" spans="1:17" s="91" customFormat="1" ht="15" customHeight="1" x14ac:dyDescent="0.25">
      <c r="A119" s="752"/>
      <c r="B119" s="769"/>
      <c r="C119" s="755"/>
      <c r="D119" s="755"/>
      <c r="E119" s="132" t="s">
        <v>141</v>
      </c>
      <c r="F119" s="138">
        <v>0</v>
      </c>
      <c r="G119" s="138">
        <v>0</v>
      </c>
      <c r="H119" s="138">
        <v>0</v>
      </c>
      <c r="I119" s="138">
        <v>0</v>
      </c>
      <c r="J119" s="138">
        <v>0</v>
      </c>
      <c r="K119" s="138">
        <v>0</v>
      </c>
      <c r="L119" s="139">
        <f>SUM(F119:J119)</f>
        <v>0</v>
      </c>
      <c r="M119" s="763"/>
      <c r="N119" s="764"/>
      <c r="O119" s="764"/>
      <c r="P119" s="764"/>
      <c r="Q119" s="764"/>
    </row>
    <row r="120" spans="1:17" s="91" customFormat="1" ht="15" customHeight="1" thickBot="1" x14ac:dyDescent="0.3">
      <c r="A120" s="753"/>
      <c r="B120" s="770"/>
      <c r="C120" s="756"/>
      <c r="D120" s="756"/>
      <c r="E120" s="134" t="s">
        <v>105</v>
      </c>
      <c r="F120" s="140">
        <f>SUM(F118:F119)</f>
        <v>2500000</v>
      </c>
      <c r="G120" s="140">
        <f t="shared" ref="G120" si="132">SUM(G118:G119)</f>
        <v>325000</v>
      </c>
      <c r="H120" s="140">
        <f t="shared" ref="H120" si="133">SUM(H118:H119)</f>
        <v>7173626</v>
      </c>
      <c r="I120" s="140">
        <f t="shared" ref="I120" si="134">SUM(I118:I119)</f>
        <v>0</v>
      </c>
      <c r="J120" s="140">
        <f t="shared" ref="J120" si="135">SUM(J118:J119)</f>
        <v>0</v>
      </c>
      <c r="K120" s="140">
        <f t="shared" ref="K120" si="136">SUM(K118:K119)</f>
        <v>0</v>
      </c>
      <c r="L120" s="141">
        <f t="shared" ref="L120" si="137">SUM(L118:L119)</f>
        <v>9998626</v>
      </c>
    </row>
    <row r="121" spans="1:17" s="91" customFormat="1" ht="15" customHeight="1" x14ac:dyDescent="0.25">
      <c r="A121" s="751" t="s">
        <v>241</v>
      </c>
      <c r="B121" s="675" t="s">
        <v>351</v>
      </c>
      <c r="C121" s="754">
        <v>100000</v>
      </c>
      <c r="D121" s="757">
        <v>0</v>
      </c>
      <c r="E121" s="133" t="s">
        <v>140</v>
      </c>
      <c r="F121" s="136">
        <v>0</v>
      </c>
      <c r="G121" s="136">
        <v>0</v>
      </c>
      <c r="H121" s="136">
        <v>0</v>
      </c>
      <c r="I121" s="136">
        <v>100000</v>
      </c>
      <c r="J121" s="136">
        <v>0</v>
      </c>
      <c r="K121" s="136">
        <v>0</v>
      </c>
      <c r="L121" s="137">
        <f>SUM(F121:J121)</f>
        <v>100000</v>
      </c>
      <c r="N121" s="287"/>
    </row>
    <row r="122" spans="1:17" s="91" customFormat="1" ht="15" customHeight="1" x14ac:dyDescent="0.25">
      <c r="A122" s="752"/>
      <c r="B122" s="676"/>
      <c r="C122" s="755"/>
      <c r="D122" s="758"/>
      <c r="E122" s="132" t="s">
        <v>141</v>
      </c>
      <c r="F122" s="138">
        <v>0</v>
      </c>
      <c r="G122" s="138">
        <v>0</v>
      </c>
      <c r="H122" s="138">
        <v>0</v>
      </c>
      <c r="I122" s="138">
        <v>0</v>
      </c>
      <c r="J122" s="138">
        <v>0</v>
      </c>
      <c r="K122" s="138">
        <v>0</v>
      </c>
      <c r="L122" s="139">
        <f>SUM(F122:J122)</f>
        <v>0</v>
      </c>
    </row>
    <row r="123" spans="1:17" s="91" customFormat="1" ht="15" customHeight="1" thickBot="1" x14ac:dyDescent="0.3">
      <c r="A123" s="753"/>
      <c r="B123" s="677"/>
      <c r="C123" s="756"/>
      <c r="D123" s="759"/>
      <c r="E123" s="134" t="s">
        <v>105</v>
      </c>
      <c r="F123" s="140">
        <f>SUM(F121:F122)</f>
        <v>0</v>
      </c>
      <c r="G123" s="140">
        <f t="shared" ref="G123:L123" si="138">SUM(G121:G122)</f>
        <v>0</v>
      </c>
      <c r="H123" s="140">
        <f t="shared" si="138"/>
        <v>0</v>
      </c>
      <c r="I123" s="140">
        <f t="shared" si="138"/>
        <v>100000</v>
      </c>
      <c r="J123" s="140">
        <f t="shared" si="138"/>
        <v>0</v>
      </c>
      <c r="K123" s="140">
        <f t="shared" si="138"/>
        <v>0</v>
      </c>
      <c r="L123" s="141">
        <f t="shared" si="138"/>
        <v>100000</v>
      </c>
      <c r="M123" s="154"/>
    </row>
    <row r="124" spans="1:17" s="91" customFormat="1" ht="17.100000000000001" customHeight="1" x14ac:dyDescent="0.25">
      <c r="A124" s="751" t="s">
        <v>242</v>
      </c>
      <c r="B124" s="760" t="s">
        <v>352</v>
      </c>
      <c r="C124" s="754">
        <v>151848</v>
      </c>
      <c r="D124" s="757">
        <v>0</v>
      </c>
      <c r="E124" s="133" t="s">
        <v>140</v>
      </c>
      <c r="F124" s="136">
        <v>0</v>
      </c>
      <c r="G124" s="136">
        <v>151848</v>
      </c>
      <c r="H124" s="136">
        <v>0</v>
      </c>
      <c r="I124" s="136">
        <v>0</v>
      </c>
      <c r="J124" s="136">
        <v>0</v>
      </c>
      <c r="K124" s="136">
        <v>0</v>
      </c>
      <c r="L124" s="137">
        <f>SUM(F124:J124)</f>
        <v>151848</v>
      </c>
      <c r="N124" s="287"/>
    </row>
    <row r="125" spans="1:17" s="91" customFormat="1" ht="17.100000000000001" customHeight="1" x14ac:dyDescent="0.25">
      <c r="A125" s="752"/>
      <c r="B125" s="761"/>
      <c r="C125" s="755"/>
      <c r="D125" s="758"/>
      <c r="E125" s="132" t="s">
        <v>141</v>
      </c>
      <c r="F125" s="138">
        <v>0</v>
      </c>
      <c r="G125" s="138">
        <v>0</v>
      </c>
      <c r="H125" s="138">
        <v>0</v>
      </c>
      <c r="I125" s="138">
        <v>0</v>
      </c>
      <c r="J125" s="138">
        <v>0</v>
      </c>
      <c r="K125" s="138">
        <v>0</v>
      </c>
      <c r="L125" s="139">
        <f>SUM(F125:J125)</f>
        <v>0</v>
      </c>
      <c r="N125" s="162"/>
    </row>
    <row r="126" spans="1:17" s="91" customFormat="1" ht="17.100000000000001" customHeight="1" thickBot="1" x14ac:dyDescent="0.3">
      <c r="A126" s="753"/>
      <c r="B126" s="762"/>
      <c r="C126" s="756"/>
      <c r="D126" s="759"/>
      <c r="E126" s="134" t="s">
        <v>105</v>
      </c>
      <c r="F126" s="140">
        <f>SUM(F124:F125)</f>
        <v>0</v>
      </c>
      <c r="G126" s="140">
        <f t="shared" ref="G126:L126" si="139">SUM(G124:G125)</f>
        <v>151848</v>
      </c>
      <c r="H126" s="140">
        <f t="shared" si="139"/>
        <v>0</v>
      </c>
      <c r="I126" s="140">
        <f t="shared" si="139"/>
        <v>0</v>
      </c>
      <c r="J126" s="140">
        <f t="shared" si="139"/>
        <v>0</v>
      </c>
      <c r="K126" s="140">
        <f t="shared" si="139"/>
        <v>0</v>
      </c>
      <c r="L126" s="141">
        <f t="shared" si="139"/>
        <v>151848</v>
      </c>
      <c r="M126" s="154"/>
    </row>
    <row r="127" spans="1:17" s="91" customFormat="1" ht="15" customHeight="1" x14ac:dyDescent="0.25">
      <c r="A127" s="751" t="s">
        <v>244</v>
      </c>
      <c r="B127" s="768" t="s">
        <v>344</v>
      </c>
      <c r="C127" s="754">
        <v>24860000</v>
      </c>
      <c r="D127" s="757">
        <v>0</v>
      </c>
      <c r="E127" s="133" t="s">
        <v>140</v>
      </c>
      <c r="F127" s="136">
        <v>0</v>
      </c>
      <c r="G127" s="136">
        <v>0</v>
      </c>
      <c r="H127" s="136">
        <v>0</v>
      </c>
      <c r="I127" s="136">
        <v>0</v>
      </c>
      <c r="J127" s="136">
        <v>0</v>
      </c>
      <c r="K127" s="136">
        <v>0</v>
      </c>
      <c r="L127" s="137">
        <f>SUM(F127:J127)</f>
        <v>0</v>
      </c>
      <c r="N127" s="287"/>
    </row>
    <row r="128" spans="1:17" s="91" customFormat="1" ht="15" customHeight="1" x14ac:dyDescent="0.25">
      <c r="A128" s="752"/>
      <c r="B128" s="769"/>
      <c r="C128" s="755"/>
      <c r="D128" s="758"/>
      <c r="E128" s="132" t="s">
        <v>141</v>
      </c>
      <c r="F128" s="138">
        <v>22000000</v>
      </c>
      <c r="G128" s="138">
        <v>2860000</v>
      </c>
      <c r="H128" s="138">
        <v>0</v>
      </c>
      <c r="I128" s="138">
        <v>0</v>
      </c>
      <c r="J128" s="138">
        <v>0</v>
      </c>
      <c r="K128" s="138">
        <v>0</v>
      </c>
      <c r="L128" s="139">
        <f>SUM(F128:J128)</f>
        <v>24860000</v>
      </c>
    </row>
    <row r="129" spans="1:19" s="91" customFormat="1" ht="15" customHeight="1" thickBot="1" x14ac:dyDescent="0.3">
      <c r="A129" s="753"/>
      <c r="B129" s="770"/>
      <c r="C129" s="756"/>
      <c r="D129" s="759"/>
      <c r="E129" s="134" t="s">
        <v>105</v>
      </c>
      <c r="F129" s="140">
        <f>SUM(F127:F128)</f>
        <v>22000000</v>
      </c>
      <c r="G129" s="140">
        <f t="shared" ref="G129:L129" si="140">SUM(G127:G128)</f>
        <v>2860000</v>
      </c>
      <c r="H129" s="140">
        <f t="shared" si="140"/>
        <v>0</v>
      </c>
      <c r="I129" s="140">
        <f t="shared" si="140"/>
        <v>0</v>
      </c>
      <c r="J129" s="140">
        <f t="shared" si="140"/>
        <v>0</v>
      </c>
      <c r="K129" s="140">
        <f t="shared" si="140"/>
        <v>0</v>
      </c>
      <c r="L129" s="141">
        <f t="shared" si="140"/>
        <v>24860000</v>
      </c>
    </row>
    <row r="130" spans="1:19" s="91" customFormat="1" ht="15" customHeight="1" x14ac:dyDescent="0.25">
      <c r="A130" s="751" t="s">
        <v>245</v>
      </c>
      <c r="B130" s="765" t="s">
        <v>345</v>
      </c>
      <c r="C130" s="757">
        <v>1500000</v>
      </c>
      <c r="D130" s="757">
        <v>0</v>
      </c>
      <c r="E130" s="133" t="s">
        <v>140</v>
      </c>
      <c r="F130" s="136">
        <v>0</v>
      </c>
      <c r="G130" s="136">
        <v>0</v>
      </c>
      <c r="H130" s="136">
        <v>0</v>
      </c>
      <c r="I130" s="136">
        <v>0</v>
      </c>
      <c r="J130" s="136">
        <v>1500000</v>
      </c>
      <c r="K130" s="136">
        <v>0</v>
      </c>
      <c r="L130" s="137">
        <f>SUM(F130:J130)</f>
        <v>1500000</v>
      </c>
    </row>
    <row r="131" spans="1:19" s="91" customFormat="1" ht="15" customHeight="1" x14ac:dyDescent="0.25">
      <c r="A131" s="752"/>
      <c r="B131" s="766"/>
      <c r="C131" s="758"/>
      <c r="D131" s="758"/>
      <c r="E131" s="132" t="s">
        <v>141</v>
      </c>
      <c r="F131" s="138">
        <v>0</v>
      </c>
      <c r="G131" s="138">
        <v>0</v>
      </c>
      <c r="H131" s="138">
        <v>0</v>
      </c>
      <c r="I131" s="138">
        <v>0</v>
      </c>
      <c r="J131" s="138">
        <v>0</v>
      </c>
      <c r="K131" s="138">
        <v>0</v>
      </c>
      <c r="L131" s="139">
        <f>SUM(F131:J131)</f>
        <v>0</v>
      </c>
    </row>
    <row r="132" spans="1:19" s="91" customFormat="1" ht="15" customHeight="1" thickBot="1" x14ac:dyDescent="0.35">
      <c r="A132" s="753"/>
      <c r="B132" s="767"/>
      <c r="C132" s="759"/>
      <c r="D132" s="759"/>
      <c r="E132" s="134" t="s">
        <v>105</v>
      </c>
      <c r="F132" s="140">
        <f>SUM(F130:F131)</f>
        <v>0</v>
      </c>
      <c r="G132" s="140">
        <f t="shared" ref="G132:L132" si="141">SUM(G130:G131)</f>
        <v>0</v>
      </c>
      <c r="H132" s="140">
        <f t="shared" si="141"/>
        <v>0</v>
      </c>
      <c r="I132" s="140">
        <f t="shared" si="141"/>
        <v>0</v>
      </c>
      <c r="J132" s="140">
        <f t="shared" si="141"/>
        <v>1500000</v>
      </c>
      <c r="K132" s="140">
        <f t="shared" si="141"/>
        <v>0</v>
      </c>
      <c r="L132" s="141">
        <f t="shared" si="141"/>
        <v>1500000</v>
      </c>
      <c r="N132" s="453"/>
      <c r="S132" s="162"/>
    </row>
    <row r="133" spans="1:19" s="91" customFormat="1" ht="15" customHeight="1" x14ac:dyDescent="0.3">
      <c r="A133" s="751" t="s">
        <v>247</v>
      </c>
      <c r="B133" s="771" t="s">
        <v>356</v>
      </c>
      <c r="C133" s="757">
        <v>30000000</v>
      </c>
      <c r="D133" s="757">
        <v>0</v>
      </c>
      <c r="E133" s="133" t="s">
        <v>140</v>
      </c>
      <c r="F133" s="136">
        <v>0</v>
      </c>
      <c r="G133" s="136">
        <v>0</v>
      </c>
      <c r="H133" s="136">
        <v>0</v>
      </c>
      <c r="I133" s="136">
        <v>0</v>
      </c>
      <c r="J133" s="136">
        <v>30000000</v>
      </c>
      <c r="K133" s="136">
        <v>0</v>
      </c>
      <c r="L133" s="137">
        <f>SUM(F133:J133)</f>
        <v>30000000</v>
      </c>
      <c r="N133" s="453"/>
      <c r="S133" s="162"/>
    </row>
    <row r="134" spans="1:19" s="91" customFormat="1" ht="15" customHeight="1" x14ac:dyDescent="0.3">
      <c r="A134" s="752"/>
      <c r="B134" s="772"/>
      <c r="C134" s="758"/>
      <c r="D134" s="758"/>
      <c r="E134" s="132" t="s">
        <v>141</v>
      </c>
      <c r="F134" s="138">
        <v>0</v>
      </c>
      <c r="G134" s="138">
        <v>0</v>
      </c>
      <c r="H134" s="138">
        <v>0</v>
      </c>
      <c r="I134" s="138">
        <v>0</v>
      </c>
      <c r="J134" s="138">
        <v>0</v>
      </c>
      <c r="K134" s="138">
        <v>0</v>
      </c>
      <c r="L134" s="139">
        <f>SUM(F134:J134)</f>
        <v>0</v>
      </c>
      <c r="N134" s="453"/>
      <c r="S134" s="162"/>
    </row>
    <row r="135" spans="1:19" s="91" customFormat="1" ht="15" customHeight="1" thickBot="1" x14ac:dyDescent="0.35">
      <c r="A135" s="753"/>
      <c r="B135" s="773"/>
      <c r="C135" s="759"/>
      <c r="D135" s="759"/>
      <c r="E135" s="134" t="s">
        <v>105</v>
      </c>
      <c r="F135" s="140">
        <f>SUM(F133:F134)</f>
        <v>0</v>
      </c>
      <c r="G135" s="140">
        <f t="shared" ref="G135:L135" si="142">SUM(G133:G134)</f>
        <v>0</v>
      </c>
      <c r="H135" s="140">
        <f t="shared" si="142"/>
        <v>0</v>
      </c>
      <c r="I135" s="140">
        <f t="shared" si="142"/>
        <v>0</v>
      </c>
      <c r="J135" s="140">
        <f t="shared" si="142"/>
        <v>30000000</v>
      </c>
      <c r="K135" s="140">
        <f t="shared" si="142"/>
        <v>0</v>
      </c>
      <c r="L135" s="141">
        <f t="shared" si="142"/>
        <v>30000000</v>
      </c>
      <c r="N135" s="453"/>
      <c r="S135" s="162"/>
    </row>
    <row r="136" spans="1:19" s="91" customFormat="1" ht="15" customHeight="1" x14ac:dyDescent="0.25">
      <c r="A136" s="751" t="s">
        <v>248</v>
      </c>
      <c r="B136" s="768" t="s">
        <v>347</v>
      </c>
      <c r="C136" s="757">
        <v>10000000</v>
      </c>
      <c r="D136" s="757">
        <v>0</v>
      </c>
      <c r="E136" s="133" t="s">
        <v>140</v>
      </c>
      <c r="F136" s="136">
        <v>0</v>
      </c>
      <c r="G136" s="136">
        <v>0</v>
      </c>
      <c r="H136" s="136">
        <v>0</v>
      </c>
      <c r="I136" s="136">
        <f>C136</f>
        <v>10000000</v>
      </c>
      <c r="J136" s="136">
        <v>0</v>
      </c>
      <c r="K136" s="136">
        <v>0</v>
      </c>
      <c r="L136" s="137">
        <f>SUM(F136:J136)</f>
        <v>10000000</v>
      </c>
    </row>
    <row r="137" spans="1:19" s="91" customFormat="1" ht="15" customHeight="1" x14ac:dyDescent="0.25">
      <c r="A137" s="752"/>
      <c r="B137" s="769"/>
      <c r="C137" s="758"/>
      <c r="D137" s="758"/>
      <c r="E137" s="132" t="s">
        <v>141</v>
      </c>
      <c r="F137" s="138">
        <v>0</v>
      </c>
      <c r="G137" s="138">
        <v>0</v>
      </c>
      <c r="H137" s="138">
        <v>0</v>
      </c>
      <c r="I137" s="138">
        <v>0</v>
      </c>
      <c r="J137" s="138">
        <v>0</v>
      </c>
      <c r="K137" s="138">
        <v>0</v>
      </c>
      <c r="L137" s="139">
        <f>SUM(F137:J137)</f>
        <v>0</v>
      </c>
      <c r="N137" s="162"/>
    </row>
    <row r="138" spans="1:19" s="91" customFormat="1" ht="15" customHeight="1" thickBot="1" x14ac:dyDescent="0.3">
      <c r="A138" s="753"/>
      <c r="B138" s="770"/>
      <c r="C138" s="759"/>
      <c r="D138" s="759"/>
      <c r="E138" s="134" t="s">
        <v>105</v>
      </c>
      <c r="F138" s="140">
        <f>SUM(F136:F137)</f>
        <v>0</v>
      </c>
      <c r="G138" s="140">
        <f t="shared" ref="G138:L138" si="143">SUM(G136:G137)</f>
        <v>0</v>
      </c>
      <c r="H138" s="140">
        <f t="shared" si="143"/>
        <v>0</v>
      </c>
      <c r="I138" s="140">
        <f t="shared" si="143"/>
        <v>10000000</v>
      </c>
      <c r="J138" s="140">
        <f t="shared" si="143"/>
        <v>0</v>
      </c>
      <c r="K138" s="140">
        <f t="shared" si="143"/>
        <v>0</v>
      </c>
      <c r="L138" s="141">
        <f t="shared" si="143"/>
        <v>10000000</v>
      </c>
    </row>
    <row r="139" spans="1:19" s="91" customFormat="1" ht="15" customHeight="1" x14ac:dyDescent="0.25">
      <c r="A139" s="751" t="s">
        <v>249</v>
      </c>
      <c r="B139" s="804" t="s">
        <v>349</v>
      </c>
      <c r="C139" s="757">
        <v>30000000</v>
      </c>
      <c r="D139" s="757">
        <v>0</v>
      </c>
      <c r="E139" s="133" t="s">
        <v>140</v>
      </c>
      <c r="F139" s="136">
        <v>0</v>
      </c>
      <c r="G139" s="136">
        <v>0</v>
      </c>
      <c r="H139" s="136">
        <v>0</v>
      </c>
      <c r="I139" s="136">
        <f>C139</f>
        <v>30000000</v>
      </c>
      <c r="J139" s="136">
        <v>0</v>
      </c>
      <c r="K139" s="136">
        <v>0</v>
      </c>
      <c r="L139" s="137">
        <f>SUM(F139:J139)</f>
        <v>30000000</v>
      </c>
    </row>
    <row r="140" spans="1:19" s="91" customFormat="1" ht="15" customHeight="1" x14ac:dyDescent="0.25">
      <c r="A140" s="752"/>
      <c r="B140" s="805"/>
      <c r="C140" s="758"/>
      <c r="D140" s="758"/>
      <c r="E140" s="132" t="s">
        <v>141</v>
      </c>
      <c r="F140" s="138">
        <v>0</v>
      </c>
      <c r="G140" s="138">
        <v>0</v>
      </c>
      <c r="H140" s="138">
        <v>0</v>
      </c>
      <c r="I140" s="138">
        <v>0</v>
      </c>
      <c r="J140" s="138">
        <v>0</v>
      </c>
      <c r="K140" s="138">
        <v>0</v>
      </c>
      <c r="L140" s="139">
        <f>SUM(F140:J140)</f>
        <v>0</v>
      </c>
    </row>
    <row r="141" spans="1:19" s="91" customFormat="1" ht="15" customHeight="1" thickBot="1" x14ac:dyDescent="0.3">
      <c r="A141" s="753"/>
      <c r="B141" s="806"/>
      <c r="C141" s="759"/>
      <c r="D141" s="759"/>
      <c r="E141" s="134" t="s">
        <v>105</v>
      </c>
      <c r="F141" s="140">
        <f>SUM(F139:F140)</f>
        <v>0</v>
      </c>
      <c r="G141" s="140">
        <f t="shared" ref="G141:L141" si="144">SUM(G139:G140)</f>
        <v>0</v>
      </c>
      <c r="H141" s="140">
        <f t="shared" si="144"/>
        <v>0</v>
      </c>
      <c r="I141" s="140">
        <f t="shared" si="144"/>
        <v>30000000</v>
      </c>
      <c r="J141" s="140">
        <f t="shared" si="144"/>
        <v>0</v>
      </c>
      <c r="K141" s="140">
        <f t="shared" si="144"/>
        <v>0</v>
      </c>
      <c r="L141" s="141">
        <f t="shared" si="144"/>
        <v>30000000</v>
      </c>
    </row>
    <row r="142" spans="1:19" s="91" customFormat="1" ht="15" customHeight="1" x14ac:dyDescent="0.25">
      <c r="A142" s="751" t="s">
        <v>250</v>
      </c>
      <c r="B142" s="804" t="s">
        <v>350</v>
      </c>
      <c r="C142" s="757">
        <v>2500000</v>
      </c>
      <c r="D142" s="757">
        <v>0</v>
      </c>
      <c r="E142" s="133" t="s">
        <v>140</v>
      </c>
      <c r="F142" s="136">
        <v>0</v>
      </c>
      <c r="G142" s="136">
        <v>0</v>
      </c>
      <c r="H142" s="136">
        <v>0</v>
      </c>
      <c r="I142" s="136">
        <v>2500000</v>
      </c>
      <c r="J142" s="136">
        <v>0</v>
      </c>
      <c r="K142" s="136">
        <v>0</v>
      </c>
      <c r="L142" s="137">
        <f>SUM(F142:J142)</f>
        <v>2500000</v>
      </c>
    </row>
    <row r="143" spans="1:19" s="91" customFormat="1" ht="15" customHeight="1" x14ac:dyDescent="0.25">
      <c r="A143" s="752"/>
      <c r="B143" s="805"/>
      <c r="C143" s="758"/>
      <c r="D143" s="758"/>
      <c r="E143" s="132" t="s">
        <v>141</v>
      </c>
      <c r="F143" s="138">
        <v>0</v>
      </c>
      <c r="G143" s="138">
        <v>0</v>
      </c>
      <c r="H143" s="138">
        <v>0</v>
      </c>
      <c r="I143" s="138">
        <v>0</v>
      </c>
      <c r="J143" s="138">
        <v>0</v>
      </c>
      <c r="K143" s="138">
        <v>0</v>
      </c>
      <c r="L143" s="139">
        <f>SUM(F143:J143)</f>
        <v>0</v>
      </c>
    </row>
    <row r="144" spans="1:19" s="91" customFormat="1" ht="15" customHeight="1" thickBot="1" x14ac:dyDescent="0.3">
      <c r="A144" s="753"/>
      <c r="B144" s="806"/>
      <c r="C144" s="759"/>
      <c r="D144" s="759"/>
      <c r="E144" s="134" t="s">
        <v>105</v>
      </c>
      <c r="F144" s="140">
        <f>SUM(F142:F143)</f>
        <v>0</v>
      </c>
      <c r="G144" s="140">
        <f t="shared" ref="G144:L144" si="145">SUM(G142:G143)</f>
        <v>0</v>
      </c>
      <c r="H144" s="140">
        <f t="shared" si="145"/>
        <v>0</v>
      </c>
      <c r="I144" s="140">
        <f t="shared" si="145"/>
        <v>2500000</v>
      </c>
      <c r="J144" s="140">
        <f t="shared" si="145"/>
        <v>0</v>
      </c>
      <c r="K144" s="140">
        <f t="shared" si="145"/>
        <v>0</v>
      </c>
      <c r="L144" s="141">
        <f t="shared" si="145"/>
        <v>2500000</v>
      </c>
    </row>
    <row r="145" spans="1:16" s="91" customFormat="1" ht="15" customHeight="1" x14ac:dyDescent="0.25">
      <c r="A145" s="751" t="s">
        <v>353</v>
      </c>
      <c r="B145" s="804" t="s">
        <v>246</v>
      </c>
      <c r="C145" s="757">
        <v>5000000</v>
      </c>
      <c r="D145" s="757">
        <v>0</v>
      </c>
      <c r="E145" s="133" t="s">
        <v>140</v>
      </c>
      <c r="F145" s="136">
        <v>0</v>
      </c>
      <c r="G145" s="136">
        <v>0</v>
      </c>
      <c r="H145" s="136">
        <v>0</v>
      </c>
      <c r="I145" s="136">
        <f>C145</f>
        <v>5000000</v>
      </c>
      <c r="J145" s="136">
        <v>0</v>
      </c>
      <c r="K145" s="136">
        <v>0</v>
      </c>
      <c r="L145" s="137">
        <f>SUM(F145:J145)</f>
        <v>5000000</v>
      </c>
    </row>
    <row r="146" spans="1:16" s="91" customFormat="1" ht="15" customHeight="1" x14ac:dyDescent="0.25">
      <c r="A146" s="752"/>
      <c r="B146" s="805"/>
      <c r="C146" s="758"/>
      <c r="D146" s="758"/>
      <c r="E146" s="132" t="s">
        <v>141</v>
      </c>
      <c r="F146" s="138">
        <v>0</v>
      </c>
      <c r="G146" s="138">
        <v>0</v>
      </c>
      <c r="H146" s="138">
        <v>0</v>
      </c>
      <c r="I146" s="138">
        <v>0</v>
      </c>
      <c r="J146" s="138">
        <v>0</v>
      </c>
      <c r="K146" s="138">
        <v>0</v>
      </c>
      <c r="L146" s="139">
        <f>SUM(F146:J146)</f>
        <v>0</v>
      </c>
    </row>
    <row r="147" spans="1:16" s="91" customFormat="1" ht="15" customHeight="1" thickBot="1" x14ac:dyDescent="0.3">
      <c r="A147" s="753"/>
      <c r="B147" s="806"/>
      <c r="C147" s="759"/>
      <c r="D147" s="759"/>
      <c r="E147" s="134" t="s">
        <v>105</v>
      </c>
      <c r="F147" s="140">
        <f>SUM(F145:F146)</f>
        <v>0</v>
      </c>
      <c r="G147" s="140">
        <f t="shared" ref="G147:L147" si="146">SUM(G145:G146)</f>
        <v>0</v>
      </c>
      <c r="H147" s="140">
        <f t="shared" si="146"/>
        <v>0</v>
      </c>
      <c r="I147" s="140">
        <f t="shared" si="146"/>
        <v>5000000</v>
      </c>
      <c r="J147" s="140">
        <f t="shared" si="146"/>
        <v>0</v>
      </c>
      <c r="K147" s="140">
        <f t="shared" si="146"/>
        <v>0</v>
      </c>
      <c r="L147" s="141">
        <f t="shared" si="146"/>
        <v>5000000</v>
      </c>
    </row>
    <row r="148" spans="1:16" s="91" customFormat="1" ht="15" customHeight="1" x14ac:dyDescent="0.25">
      <c r="A148" s="751" t="s">
        <v>354</v>
      </c>
      <c r="B148" s="804" t="s">
        <v>348</v>
      </c>
      <c r="C148" s="757">
        <v>25000000</v>
      </c>
      <c r="D148" s="757">
        <v>0</v>
      </c>
      <c r="E148" s="133" t="s">
        <v>140</v>
      </c>
      <c r="F148" s="136">
        <v>0</v>
      </c>
      <c r="G148" s="136">
        <v>0</v>
      </c>
      <c r="H148" s="136">
        <v>0</v>
      </c>
      <c r="I148" s="136">
        <v>25000000</v>
      </c>
      <c r="J148" s="136">
        <v>0</v>
      </c>
      <c r="K148" s="136">
        <v>0</v>
      </c>
      <c r="L148" s="137">
        <f>SUM(F148:J148)</f>
        <v>25000000</v>
      </c>
    </row>
    <row r="149" spans="1:16" s="91" customFormat="1" ht="15" customHeight="1" x14ac:dyDescent="0.25">
      <c r="A149" s="752"/>
      <c r="B149" s="805"/>
      <c r="C149" s="758"/>
      <c r="D149" s="758"/>
      <c r="E149" s="132" t="s">
        <v>141</v>
      </c>
      <c r="F149" s="138">
        <v>0</v>
      </c>
      <c r="G149" s="138">
        <v>0</v>
      </c>
      <c r="H149" s="138">
        <v>0</v>
      </c>
      <c r="I149" s="138">
        <v>0</v>
      </c>
      <c r="J149" s="138">
        <v>0</v>
      </c>
      <c r="K149" s="138">
        <v>0</v>
      </c>
      <c r="L149" s="139">
        <f>SUM(F149:J149)</f>
        <v>0</v>
      </c>
    </row>
    <row r="150" spans="1:16" s="91" customFormat="1" ht="15" customHeight="1" thickBot="1" x14ac:dyDescent="0.3">
      <c r="A150" s="753"/>
      <c r="B150" s="806"/>
      <c r="C150" s="759"/>
      <c r="D150" s="759"/>
      <c r="E150" s="134" t="s">
        <v>105</v>
      </c>
      <c r="F150" s="140">
        <f>SUM(F148:F149)</f>
        <v>0</v>
      </c>
      <c r="G150" s="140">
        <f t="shared" ref="G150:L150" si="147">SUM(G148:G149)</f>
        <v>0</v>
      </c>
      <c r="H150" s="140">
        <f t="shared" si="147"/>
        <v>0</v>
      </c>
      <c r="I150" s="140">
        <f t="shared" si="147"/>
        <v>25000000</v>
      </c>
      <c r="J150" s="140">
        <f t="shared" si="147"/>
        <v>0</v>
      </c>
      <c r="K150" s="140">
        <f t="shared" si="147"/>
        <v>0</v>
      </c>
      <c r="L150" s="141">
        <f t="shared" si="147"/>
        <v>25000000</v>
      </c>
    </row>
    <row r="151" spans="1:16" s="91" customFormat="1" ht="15" customHeight="1" x14ac:dyDescent="0.25">
      <c r="A151" s="751" t="s">
        <v>355</v>
      </c>
      <c r="B151" s="804" t="s">
        <v>243</v>
      </c>
      <c r="C151" s="757">
        <v>18928297</v>
      </c>
      <c r="D151" s="757">
        <v>0</v>
      </c>
      <c r="E151" s="133" t="s">
        <v>140</v>
      </c>
      <c r="F151" s="136">
        <v>0</v>
      </c>
      <c r="G151" s="136">
        <v>0</v>
      </c>
      <c r="H151" s="136">
        <v>0</v>
      </c>
      <c r="I151" s="136">
        <f>C151</f>
        <v>18928297</v>
      </c>
      <c r="J151" s="136">
        <v>0</v>
      </c>
      <c r="K151" s="136">
        <v>0</v>
      </c>
      <c r="L151" s="137">
        <f>SUM(F151:J151)</f>
        <v>18928297</v>
      </c>
    </row>
    <row r="152" spans="1:16" s="91" customFormat="1" ht="15" customHeight="1" x14ac:dyDescent="0.25">
      <c r="A152" s="752"/>
      <c r="B152" s="805"/>
      <c r="C152" s="758"/>
      <c r="D152" s="758"/>
      <c r="E152" s="132" t="s">
        <v>141</v>
      </c>
      <c r="F152" s="138">
        <v>0</v>
      </c>
      <c r="G152" s="138">
        <v>0</v>
      </c>
      <c r="H152" s="138">
        <v>0</v>
      </c>
      <c r="I152" s="138">
        <v>0</v>
      </c>
      <c r="J152" s="138">
        <v>0</v>
      </c>
      <c r="K152" s="138">
        <v>0</v>
      </c>
      <c r="L152" s="139">
        <f>SUM(F152:J152)</f>
        <v>0</v>
      </c>
    </row>
    <row r="153" spans="1:16" s="91" customFormat="1" ht="15" customHeight="1" thickBot="1" x14ac:dyDescent="0.3">
      <c r="A153" s="753"/>
      <c r="B153" s="806"/>
      <c r="C153" s="759"/>
      <c r="D153" s="759"/>
      <c r="E153" s="134" t="s">
        <v>105</v>
      </c>
      <c r="F153" s="140">
        <f>SUM(F151:F152)</f>
        <v>0</v>
      </c>
      <c r="G153" s="140">
        <f t="shared" ref="G153" si="148">SUM(G151:G152)</f>
        <v>0</v>
      </c>
      <c r="H153" s="140">
        <f t="shared" ref="H153" si="149">SUM(H151:H152)</f>
        <v>0</v>
      </c>
      <c r="I153" s="140">
        <f t="shared" ref="I153" si="150">SUM(I151:I152)</f>
        <v>18928297</v>
      </c>
      <c r="J153" s="140">
        <f t="shared" ref="J153" si="151">SUM(J151:J152)</f>
        <v>0</v>
      </c>
      <c r="K153" s="140">
        <f t="shared" ref="K153" si="152">SUM(K151:K152)</f>
        <v>0</v>
      </c>
      <c r="L153" s="141">
        <f t="shared" ref="L153" si="153">SUM(L151:L152)</f>
        <v>18928297</v>
      </c>
      <c r="N153" s="162"/>
    </row>
    <row r="154" spans="1:16" s="91" customFormat="1" ht="15" customHeight="1" x14ac:dyDescent="0.3">
      <c r="A154" s="810" t="s">
        <v>369</v>
      </c>
      <c r="B154" s="811"/>
      <c r="C154" s="807">
        <f>SUM(C10:C153)</f>
        <v>752738621</v>
      </c>
      <c r="D154" s="807">
        <f>SUM(D10:D153)</f>
        <v>598695602</v>
      </c>
      <c r="E154" s="434" t="s">
        <v>140</v>
      </c>
      <c r="F154" s="435">
        <f>F10+F13+F16+F19+F22+F25+F28+F31+F34+F37+F40+F43+F46+F49+F52+F55+F58+F61+F64+F67+F70+F73+F76+F79+F82+F85+F88+F91+F94+F97+F100+F103+F106+F109+F112+F115+F118+F127+F130+F136+F139+F142+F145+F148+F151+F121+F124+F133</f>
        <v>43356264</v>
      </c>
      <c r="G154" s="435">
        <f t="shared" ref="G154:K154" si="154">G10+G13+G16+G19+G22+G25+G28+G31+G34+G37+G40+G43+G46+G49+G52+G55+G58+G61+G64+G67+G70+G73+G76+G79+G82+G85+G88+G91+G94+G97+G100+G103+G106+G109+G112+G115+G118+G127+G130+G136+G139+G142+G145+G148+G151+G121+G124+G133</f>
        <v>1136780</v>
      </c>
      <c r="H154" s="435">
        <f t="shared" si="154"/>
        <v>281202514</v>
      </c>
      <c r="I154" s="435">
        <f t="shared" si="154"/>
        <v>208686107</v>
      </c>
      <c r="J154" s="435">
        <f t="shared" si="154"/>
        <v>152686692</v>
      </c>
      <c r="K154" s="435">
        <f t="shared" si="154"/>
        <v>12444000</v>
      </c>
      <c r="L154" s="455">
        <f>L10+L13+L16+L19+L22+L25+L28+L31+L34+L37+L40+L43+L46+L49+L52+L55+L58+L61+L64+L67+L70+L73+L76+L79+L82+L85+L88+L91+L94+L97+L100+L103+L106+L109+L112+L115+L118+L127+L130+L136+L139+L142+L145+L148+L151+L121+L124+L133</f>
        <v>699512357</v>
      </c>
      <c r="M154" s="286"/>
      <c r="N154" s="454"/>
      <c r="O154" s="287"/>
    </row>
    <row r="155" spans="1:16" s="91" customFormat="1" ht="15" customHeight="1" x14ac:dyDescent="0.25">
      <c r="A155" s="812"/>
      <c r="B155" s="813"/>
      <c r="C155" s="808"/>
      <c r="D155" s="808"/>
      <c r="E155" s="436" t="s">
        <v>141</v>
      </c>
      <c r="F155" s="437">
        <f>F11+F14+F17+F20+F23+F26+F29+F32+F35+F38+F41+F44+F47+F50+F53+F56+F59+F62+F65+F68+F71+F74+F77+F80+F83+F86+F89+F92+F95+F98+F101+F104+F107+F110+F113+F116+F119+F128+F131+F137+F140+F143+F146+F149+F152+F122+F125+F134</f>
        <v>46026782</v>
      </c>
      <c r="G155" s="437">
        <f t="shared" ref="G155:K155" si="155">G11+G14+G17+G20+G23+G26+G29+G32+G35+G38+G41+G44+G47+G50+G53+G56+G59+G62+G65+G68+G71+G74+G77+G80+G83+G86+G89+G92+G95+G98+G101+G104+G107+G110+G113+G116+G119+G128+G131+G137+G140+G143+G146+G149+G152+G122+G125+G134</f>
        <v>6099482</v>
      </c>
      <c r="H155" s="437">
        <f t="shared" si="155"/>
        <v>1100000</v>
      </c>
      <c r="I155" s="437">
        <f t="shared" si="155"/>
        <v>0</v>
      </c>
      <c r="J155" s="437">
        <f t="shared" si="155"/>
        <v>0</v>
      </c>
      <c r="K155" s="437">
        <f t="shared" si="155"/>
        <v>0</v>
      </c>
      <c r="L155" s="456">
        <f>L11+L14+L17+L20+L23+L26+L29+L32+L35+L38+L41+L44+L47+L50+L53+L56+L59+L62+L65+L68+L71+L74+L77+L80+L83+L86+L89+L92+L95+L98+L101+L104+L107+L110+L113+L116+L119+L128+L131+L137+L140+L143+L146+L149+L152+L122+L125+L134</f>
        <v>53226264</v>
      </c>
    </row>
    <row r="156" spans="1:16" s="91" customFormat="1" ht="15" customHeight="1" thickBot="1" x14ac:dyDescent="0.3">
      <c r="A156" s="814"/>
      <c r="B156" s="815"/>
      <c r="C156" s="809"/>
      <c r="D156" s="809"/>
      <c r="E156" s="134" t="s">
        <v>105</v>
      </c>
      <c r="F156" s="140">
        <f>SUM(F154:F155)</f>
        <v>89383046</v>
      </c>
      <c r="G156" s="140">
        <f t="shared" ref="G156:K156" si="156">SUM(G154:G155)</f>
        <v>7236262</v>
      </c>
      <c r="H156" s="140">
        <f t="shared" si="156"/>
        <v>282302514</v>
      </c>
      <c r="I156" s="140">
        <f t="shared" si="156"/>
        <v>208686107</v>
      </c>
      <c r="J156" s="140">
        <f t="shared" si="156"/>
        <v>152686692</v>
      </c>
      <c r="K156" s="140">
        <f t="shared" si="156"/>
        <v>12444000</v>
      </c>
      <c r="L156" s="141">
        <f t="shared" ref="L156" si="157">SUM(L154:L155)</f>
        <v>752738621</v>
      </c>
      <c r="M156" s="162"/>
      <c r="N156" s="162"/>
      <c r="P156" s="162"/>
    </row>
    <row r="157" spans="1:16" s="4" customFormat="1" ht="15" customHeight="1" thickBot="1" x14ac:dyDescent="0.3">
      <c r="A157" s="816" t="s">
        <v>371</v>
      </c>
      <c r="B157" s="817"/>
      <c r="C157" s="817"/>
      <c r="D157" s="817"/>
      <c r="E157" s="817"/>
      <c r="F157" s="817"/>
      <c r="G157" s="817"/>
      <c r="H157" s="817"/>
      <c r="I157" s="817"/>
      <c r="J157" s="817"/>
      <c r="K157" s="817"/>
      <c r="L157" s="818"/>
    </row>
    <row r="158" spans="1:16" s="4" customFormat="1" ht="15" customHeight="1" x14ac:dyDescent="0.25">
      <c r="A158" s="837" t="s">
        <v>1</v>
      </c>
      <c r="B158" s="840" t="s">
        <v>343</v>
      </c>
      <c r="C158" s="843">
        <v>19485535</v>
      </c>
      <c r="D158" s="843">
        <v>0</v>
      </c>
      <c r="E158" s="133" t="s">
        <v>140</v>
      </c>
      <c r="F158" s="136">
        <v>0</v>
      </c>
      <c r="G158" s="136">
        <v>0</v>
      </c>
      <c r="H158" s="136">
        <v>0</v>
      </c>
      <c r="I158" s="136">
        <v>0</v>
      </c>
      <c r="J158" s="136">
        <v>0</v>
      </c>
      <c r="K158" s="136">
        <v>0</v>
      </c>
      <c r="L158" s="137">
        <f>SUM(F158:J158)</f>
        <v>0</v>
      </c>
    </row>
    <row r="159" spans="1:16" s="4" customFormat="1" ht="15" customHeight="1" x14ac:dyDescent="0.25">
      <c r="A159" s="838"/>
      <c r="B159" s="841"/>
      <c r="C159" s="844"/>
      <c r="D159" s="844"/>
      <c r="E159" s="132" t="s">
        <v>141</v>
      </c>
      <c r="F159" s="457">
        <v>4000000</v>
      </c>
      <c r="G159" s="457">
        <v>520000</v>
      </c>
      <c r="H159" s="457">
        <v>13465535</v>
      </c>
      <c r="I159" s="138">
        <v>0</v>
      </c>
      <c r="J159" s="138">
        <v>1500000</v>
      </c>
      <c r="K159" s="138">
        <v>0</v>
      </c>
      <c r="L159" s="143">
        <f>SUM(F159:J159)</f>
        <v>19485535</v>
      </c>
      <c r="M159" s="8"/>
      <c r="N159" s="8"/>
    </row>
    <row r="160" spans="1:16" s="4" customFormat="1" ht="15" customHeight="1" thickBot="1" x14ac:dyDescent="0.3">
      <c r="A160" s="839"/>
      <c r="B160" s="842"/>
      <c r="C160" s="845"/>
      <c r="D160" s="845"/>
      <c r="E160" s="150" t="s">
        <v>105</v>
      </c>
      <c r="F160" s="151">
        <f>SUM(F158:F159)</f>
        <v>4000000</v>
      </c>
      <c r="G160" s="151">
        <f t="shared" ref="G160" si="158">SUM(G158:G159)</f>
        <v>520000</v>
      </c>
      <c r="H160" s="151">
        <f t="shared" ref="H160" si="159">SUM(H158:H159)</f>
        <v>13465535</v>
      </c>
      <c r="I160" s="151">
        <f t="shared" ref="I160" si="160">SUM(I158:I159)</f>
        <v>0</v>
      </c>
      <c r="J160" s="151">
        <f t="shared" ref="J160:K160" si="161">SUM(J158:J159)</f>
        <v>1500000</v>
      </c>
      <c r="K160" s="151">
        <f t="shared" si="161"/>
        <v>0</v>
      </c>
      <c r="L160" s="152">
        <f t="shared" ref="L160" si="162">SUM(L158:L159)</f>
        <v>19485535</v>
      </c>
    </row>
    <row r="161" spans="1:14" s="91" customFormat="1" ht="15" customHeight="1" x14ac:dyDescent="0.25">
      <c r="A161" s="828" t="s">
        <v>370</v>
      </c>
      <c r="B161" s="829"/>
      <c r="C161" s="834">
        <f>C158</f>
        <v>19485535</v>
      </c>
      <c r="D161" s="834">
        <f>D158</f>
        <v>0</v>
      </c>
      <c r="E161" s="438" t="s">
        <v>140</v>
      </c>
      <c r="F161" s="439">
        <f t="shared" ref="F161:L162" si="163">F158</f>
        <v>0</v>
      </c>
      <c r="G161" s="439">
        <f t="shared" si="163"/>
        <v>0</v>
      </c>
      <c r="H161" s="439">
        <f t="shared" si="163"/>
        <v>0</v>
      </c>
      <c r="I161" s="439">
        <f t="shared" si="163"/>
        <v>0</v>
      </c>
      <c r="J161" s="439">
        <f t="shared" si="163"/>
        <v>0</v>
      </c>
      <c r="K161" s="439">
        <f t="shared" si="163"/>
        <v>0</v>
      </c>
      <c r="L161" s="440">
        <f t="shared" si="163"/>
        <v>0</v>
      </c>
    </row>
    <row r="162" spans="1:14" s="91" customFormat="1" ht="15" customHeight="1" x14ac:dyDescent="0.25">
      <c r="A162" s="830"/>
      <c r="B162" s="831"/>
      <c r="C162" s="835"/>
      <c r="D162" s="835"/>
      <c r="E162" s="441" t="s">
        <v>141</v>
      </c>
      <c r="F162" s="442">
        <f t="shared" si="163"/>
        <v>4000000</v>
      </c>
      <c r="G162" s="442">
        <f t="shared" si="163"/>
        <v>520000</v>
      </c>
      <c r="H162" s="442">
        <f t="shared" si="163"/>
        <v>13465535</v>
      </c>
      <c r="I162" s="442">
        <f t="shared" si="163"/>
        <v>0</v>
      </c>
      <c r="J162" s="442">
        <f t="shared" si="163"/>
        <v>1500000</v>
      </c>
      <c r="K162" s="442">
        <f t="shared" si="163"/>
        <v>0</v>
      </c>
      <c r="L162" s="443">
        <f t="shared" si="163"/>
        <v>19485535</v>
      </c>
    </row>
    <row r="163" spans="1:14" s="91" customFormat="1" ht="15" customHeight="1" thickBot="1" x14ac:dyDescent="0.3">
      <c r="A163" s="832"/>
      <c r="B163" s="833"/>
      <c r="C163" s="836"/>
      <c r="D163" s="836"/>
      <c r="E163" s="150" t="s">
        <v>105</v>
      </c>
      <c r="F163" s="151">
        <f>SUM(F161:F162)</f>
        <v>4000000</v>
      </c>
      <c r="G163" s="151">
        <f t="shared" ref="G163" si="164">SUM(G161:G162)</f>
        <v>520000</v>
      </c>
      <c r="H163" s="151">
        <f t="shared" ref="H163" si="165">SUM(H161:H162)</f>
        <v>13465535</v>
      </c>
      <c r="I163" s="151">
        <f t="shared" ref="I163" si="166">SUM(I161:I162)</f>
        <v>0</v>
      </c>
      <c r="J163" s="151">
        <f t="shared" ref="J163:K163" si="167">SUM(J161:J162)</f>
        <v>1500000</v>
      </c>
      <c r="K163" s="151">
        <f t="shared" si="167"/>
        <v>0</v>
      </c>
      <c r="L163" s="152">
        <f t="shared" ref="L163" si="168">SUM(L161:L162)</f>
        <v>19485535</v>
      </c>
    </row>
    <row r="164" spans="1:14" s="91" customFormat="1" ht="15" customHeight="1" x14ac:dyDescent="0.25">
      <c r="A164" s="819" t="s">
        <v>236</v>
      </c>
      <c r="B164" s="820"/>
      <c r="C164" s="825">
        <f>C154+C161</f>
        <v>772224156</v>
      </c>
      <c r="D164" s="825">
        <f>D154+D161</f>
        <v>598695602</v>
      </c>
      <c r="E164" s="444" t="s">
        <v>140</v>
      </c>
      <c r="F164" s="445">
        <f t="shared" ref="F164:L165" si="169">F154+F161</f>
        <v>43356264</v>
      </c>
      <c r="G164" s="445">
        <f t="shared" si="169"/>
        <v>1136780</v>
      </c>
      <c r="H164" s="445">
        <f t="shared" si="169"/>
        <v>281202514</v>
      </c>
      <c r="I164" s="445">
        <f t="shared" si="169"/>
        <v>208686107</v>
      </c>
      <c r="J164" s="445">
        <f t="shared" si="169"/>
        <v>152686692</v>
      </c>
      <c r="K164" s="445">
        <f t="shared" si="169"/>
        <v>12444000</v>
      </c>
      <c r="L164" s="446">
        <f t="shared" si="169"/>
        <v>699512357</v>
      </c>
    </row>
    <row r="165" spans="1:14" s="91" customFormat="1" ht="15" customHeight="1" x14ac:dyDescent="0.25">
      <c r="A165" s="821"/>
      <c r="B165" s="822"/>
      <c r="C165" s="826"/>
      <c r="D165" s="826"/>
      <c r="E165" s="447" t="s">
        <v>141</v>
      </c>
      <c r="F165" s="448">
        <f t="shared" si="169"/>
        <v>50026782</v>
      </c>
      <c r="G165" s="448">
        <f t="shared" si="169"/>
        <v>6619482</v>
      </c>
      <c r="H165" s="448">
        <f t="shared" si="169"/>
        <v>14565535</v>
      </c>
      <c r="I165" s="448">
        <f t="shared" si="169"/>
        <v>0</v>
      </c>
      <c r="J165" s="448">
        <f t="shared" si="169"/>
        <v>1500000</v>
      </c>
      <c r="K165" s="448">
        <f t="shared" si="169"/>
        <v>0</v>
      </c>
      <c r="L165" s="449">
        <f t="shared" si="169"/>
        <v>72711799</v>
      </c>
    </row>
    <row r="166" spans="1:14" s="91" customFormat="1" ht="15" customHeight="1" thickBot="1" x14ac:dyDescent="0.3">
      <c r="A166" s="823"/>
      <c r="B166" s="824"/>
      <c r="C166" s="827"/>
      <c r="D166" s="827"/>
      <c r="E166" s="414" t="s">
        <v>105</v>
      </c>
      <c r="F166" s="415">
        <f>SUM(F164:F165)</f>
        <v>93383046</v>
      </c>
      <c r="G166" s="415">
        <f t="shared" ref="G166" si="170">SUM(G164:G165)</f>
        <v>7756262</v>
      </c>
      <c r="H166" s="415">
        <f t="shared" ref="H166" si="171">SUM(H164:H165)</f>
        <v>295768049</v>
      </c>
      <c r="I166" s="415">
        <f t="shared" ref="I166" si="172">SUM(I164:I165)</f>
        <v>208686107</v>
      </c>
      <c r="J166" s="415">
        <f t="shared" ref="J166:K166" si="173">SUM(J164:J165)</f>
        <v>154186692</v>
      </c>
      <c r="K166" s="415">
        <f t="shared" si="173"/>
        <v>12444000</v>
      </c>
      <c r="L166" s="416">
        <f t="shared" ref="L166" si="174">SUM(L164:L165)</f>
        <v>772224156</v>
      </c>
      <c r="N166" s="162"/>
    </row>
    <row r="167" spans="1:14" s="91" customFormat="1" ht="17.100000000000001" customHeight="1" x14ac:dyDescent="0.25">
      <c r="A167" s="158"/>
      <c r="B167" s="148"/>
      <c r="C167" s="149"/>
      <c r="D167" s="149"/>
      <c r="E167" s="153"/>
      <c r="F167" s="154"/>
      <c r="G167" s="154"/>
      <c r="H167" s="154"/>
      <c r="I167" s="154"/>
      <c r="J167" s="154"/>
      <c r="K167" s="154"/>
      <c r="L167" s="154"/>
    </row>
    <row r="168" spans="1:14" s="91" customFormat="1" ht="17.100000000000001" customHeight="1" x14ac:dyDescent="0.25">
      <c r="A168" s="159"/>
      <c r="B168" s="148"/>
      <c r="C168" s="149"/>
      <c r="D168" s="149"/>
      <c r="E168" s="153"/>
      <c r="F168" s="154"/>
      <c r="G168" s="154"/>
      <c r="H168" s="154"/>
      <c r="I168" s="154"/>
      <c r="J168" s="154"/>
      <c r="K168" s="154"/>
      <c r="L168" s="154"/>
    </row>
    <row r="169" spans="1:14" s="91" customFormat="1" ht="17.100000000000001" customHeight="1" x14ac:dyDescent="0.25">
      <c r="A169" s="159"/>
      <c r="B169" s="148"/>
      <c r="C169" s="149"/>
      <c r="D169" s="149"/>
      <c r="E169" s="153"/>
      <c r="F169" s="803"/>
      <c r="G169" s="803"/>
      <c r="H169" s="154"/>
      <c r="I169" s="154"/>
      <c r="J169" s="154"/>
      <c r="K169" s="154"/>
      <c r="L169" s="154"/>
    </row>
    <row r="170" spans="1:14" s="91" customFormat="1" ht="17.100000000000001" customHeight="1" x14ac:dyDescent="0.25">
      <c r="A170" s="159"/>
      <c r="B170" s="148"/>
      <c r="C170" s="149"/>
      <c r="D170" s="149"/>
      <c r="E170" s="153"/>
      <c r="F170" s="154"/>
      <c r="G170" s="154"/>
      <c r="H170" s="154"/>
      <c r="I170" s="154"/>
      <c r="J170" s="154"/>
      <c r="K170" s="154"/>
      <c r="L170" s="154"/>
    </row>
    <row r="171" spans="1:14" s="91" customFormat="1" ht="17.100000000000001" customHeight="1" x14ac:dyDescent="0.25">
      <c r="A171" s="159"/>
      <c r="B171" s="148"/>
      <c r="C171" s="149"/>
      <c r="D171" s="149"/>
      <c r="E171" s="153"/>
      <c r="F171" s="154"/>
      <c r="G171" s="154"/>
      <c r="H171" s="154"/>
      <c r="I171" s="154"/>
      <c r="J171" s="154"/>
      <c r="K171" s="154"/>
      <c r="L171" s="154"/>
    </row>
    <row r="172" spans="1:14" x14ac:dyDescent="0.25">
      <c r="C172" s="66"/>
    </row>
    <row r="173" spans="1:14" x14ac:dyDescent="0.25">
      <c r="C173" s="66"/>
      <c r="F173" s="66"/>
    </row>
    <row r="174" spans="1:14" x14ac:dyDescent="0.25">
      <c r="C174" s="66"/>
      <c r="D174" s="66"/>
      <c r="F174" s="66"/>
    </row>
    <row r="175" spans="1:14" x14ac:dyDescent="0.25">
      <c r="C175" s="66"/>
    </row>
    <row r="176" spans="1:14" x14ac:dyDescent="0.25">
      <c r="C176" s="66"/>
    </row>
    <row r="177" spans="2:6" x14ac:dyDescent="0.25">
      <c r="C177" s="66"/>
    </row>
    <row r="178" spans="2:6" x14ac:dyDescent="0.25">
      <c r="D178" s="66"/>
    </row>
    <row r="181" spans="2:6" x14ac:dyDescent="0.25">
      <c r="B181" s="161"/>
      <c r="C181" s="786"/>
      <c r="D181" s="786"/>
      <c r="E181" s="786"/>
      <c r="F181" s="786"/>
    </row>
  </sheetData>
  <mergeCells count="222">
    <mergeCell ref="A139:A141"/>
    <mergeCell ref="B139:B141"/>
    <mergeCell ref="C139:C141"/>
    <mergeCell ref="D139:D141"/>
    <mergeCell ref="A148:A150"/>
    <mergeCell ref="D148:D150"/>
    <mergeCell ref="A145:A147"/>
    <mergeCell ref="B145:B147"/>
    <mergeCell ref="C145:C147"/>
    <mergeCell ref="D145:D147"/>
    <mergeCell ref="A142:A144"/>
    <mergeCell ref="B148:B150"/>
    <mergeCell ref="C148:C150"/>
    <mergeCell ref="D142:D144"/>
    <mergeCell ref="B142:B144"/>
    <mergeCell ref="C142:C144"/>
    <mergeCell ref="F169:G169"/>
    <mergeCell ref="B151:B153"/>
    <mergeCell ref="C151:C153"/>
    <mergeCell ref="D151:D153"/>
    <mergeCell ref="D154:D156"/>
    <mergeCell ref="A154:B156"/>
    <mergeCell ref="A157:L157"/>
    <mergeCell ref="A164:B166"/>
    <mergeCell ref="A151:A153"/>
    <mergeCell ref="C164:C166"/>
    <mergeCell ref="D164:D166"/>
    <mergeCell ref="A161:B163"/>
    <mergeCell ref="C161:C163"/>
    <mergeCell ref="D161:D163"/>
    <mergeCell ref="A158:A160"/>
    <mergeCell ref="B158:B160"/>
    <mergeCell ref="C158:C160"/>
    <mergeCell ref="D158:D160"/>
    <mergeCell ref="C154:C156"/>
    <mergeCell ref="C181:F181"/>
    <mergeCell ref="C6:L6"/>
    <mergeCell ref="A1:L1"/>
    <mergeCell ref="A3:L3"/>
    <mergeCell ref="A4:L4"/>
    <mergeCell ref="A2:L2"/>
    <mergeCell ref="D19:D21"/>
    <mergeCell ref="B22:B24"/>
    <mergeCell ref="C22:C24"/>
    <mergeCell ref="D22:D24"/>
    <mergeCell ref="A5:L5"/>
    <mergeCell ref="B13:B15"/>
    <mergeCell ref="C13:C15"/>
    <mergeCell ref="D13:D15"/>
    <mergeCell ref="B16:B18"/>
    <mergeCell ref="C16:C18"/>
    <mergeCell ref="D16:D18"/>
    <mergeCell ref="E7:L7"/>
    <mergeCell ref="A9:L9"/>
    <mergeCell ref="D7:D8"/>
    <mergeCell ref="A7:A8"/>
    <mergeCell ref="B7:C7"/>
    <mergeCell ref="B10:B12"/>
    <mergeCell ref="C10:C12"/>
    <mergeCell ref="D10:D12"/>
    <mergeCell ref="A34:A36"/>
    <mergeCell ref="A37:A39"/>
    <mergeCell ref="B28:B30"/>
    <mergeCell ref="B37:B39"/>
    <mergeCell ref="B25:B27"/>
    <mergeCell ref="C25:C27"/>
    <mergeCell ref="D25:D27"/>
    <mergeCell ref="C37:C39"/>
    <mergeCell ref="D37:D39"/>
    <mergeCell ref="D28:D30"/>
    <mergeCell ref="D31:D33"/>
    <mergeCell ref="B34:B36"/>
    <mergeCell ref="C34:C36"/>
    <mergeCell ref="D34:D36"/>
    <mergeCell ref="A10:A12"/>
    <mergeCell ref="A13:A15"/>
    <mergeCell ref="A16:A18"/>
    <mergeCell ref="A19:A21"/>
    <mergeCell ref="A22:A24"/>
    <mergeCell ref="A25:A27"/>
    <mergeCell ref="A28:A30"/>
    <mergeCell ref="A31:A33"/>
    <mergeCell ref="C28:C30"/>
    <mergeCell ref="B31:B33"/>
    <mergeCell ref="C31:C33"/>
    <mergeCell ref="B19:B21"/>
    <mergeCell ref="C19:C21"/>
    <mergeCell ref="A49:A51"/>
    <mergeCell ref="B49:B51"/>
    <mergeCell ref="C49:C51"/>
    <mergeCell ref="D49:D51"/>
    <mergeCell ref="A52:A54"/>
    <mergeCell ref="B52:B54"/>
    <mergeCell ref="C52:C54"/>
    <mergeCell ref="D52:D54"/>
    <mergeCell ref="D40:D42"/>
    <mergeCell ref="B43:B45"/>
    <mergeCell ref="C43:C45"/>
    <mergeCell ref="D43:D45"/>
    <mergeCell ref="A46:A48"/>
    <mergeCell ref="B46:B48"/>
    <mergeCell ref="C46:C48"/>
    <mergeCell ref="D46:D48"/>
    <mergeCell ref="A40:A42"/>
    <mergeCell ref="A43:A45"/>
    <mergeCell ref="B40:B42"/>
    <mergeCell ref="C40:C42"/>
    <mergeCell ref="A61:A63"/>
    <mergeCell ref="B61:B63"/>
    <mergeCell ref="C61:C63"/>
    <mergeCell ref="D61:D63"/>
    <mergeCell ref="A64:A66"/>
    <mergeCell ref="B64:B66"/>
    <mergeCell ref="C64:C66"/>
    <mergeCell ref="D64:D66"/>
    <mergeCell ref="A55:A57"/>
    <mergeCell ref="B55:B57"/>
    <mergeCell ref="C55:C57"/>
    <mergeCell ref="D55:D57"/>
    <mergeCell ref="A58:A60"/>
    <mergeCell ref="B58:B60"/>
    <mergeCell ref="C58:C60"/>
    <mergeCell ref="D58:D60"/>
    <mergeCell ref="A73:A75"/>
    <mergeCell ref="B73:B75"/>
    <mergeCell ref="C73:C75"/>
    <mergeCell ref="D73:D75"/>
    <mergeCell ref="A76:A78"/>
    <mergeCell ref="B76:B78"/>
    <mergeCell ref="C76:C78"/>
    <mergeCell ref="D76:D78"/>
    <mergeCell ref="A67:A69"/>
    <mergeCell ref="B67:B69"/>
    <mergeCell ref="C67:C69"/>
    <mergeCell ref="D67:D69"/>
    <mergeCell ref="A70:A72"/>
    <mergeCell ref="B70:B72"/>
    <mergeCell ref="C70:C72"/>
    <mergeCell ref="D70:D72"/>
    <mergeCell ref="A91:A93"/>
    <mergeCell ref="B91:B93"/>
    <mergeCell ref="C91:C93"/>
    <mergeCell ref="D91:D93"/>
    <mergeCell ref="A94:A96"/>
    <mergeCell ref="B94:B96"/>
    <mergeCell ref="C94:C96"/>
    <mergeCell ref="D94:D96"/>
    <mergeCell ref="A79:A81"/>
    <mergeCell ref="B79:B81"/>
    <mergeCell ref="C79:C81"/>
    <mergeCell ref="D79:D81"/>
    <mergeCell ref="A82:A84"/>
    <mergeCell ref="B82:B84"/>
    <mergeCell ref="C82:C84"/>
    <mergeCell ref="D82:D84"/>
    <mergeCell ref="A88:A90"/>
    <mergeCell ref="B88:B90"/>
    <mergeCell ref="C88:C90"/>
    <mergeCell ref="D88:D90"/>
    <mergeCell ref="A85:A87"/>
    <mergeCell ref="B85:B87"/>
    <mergeCell ref="C85:C87"/>
    <mergeCell ref="D85:D87"/>
    <mergeCell ref="B106:B108"/>
    <mergeCell ref="C106:C108"/>
    <mergeCell ref="D106:D108"/>
    <mergeCell ref="A109:A111"/>
    <mergeCell ref="A97:A99"/>
    <mergeCell ref="B97:B99"/>
    <mergeCell ref="C97:C99"/>
    <mergeCell ref="D97:D99"/>
    <mergeCell ref="B103:B105"/>
    <mergeCell ref="C103:C105"/>
    <mergeCell ref="D103:D105"/>
    <mergeCell ref="B130:B132"/>
    <mergeCell ref="C130:C132"/>
    <mergeCell ref="D130:D132"/>
    <mergeCell ref="B136:B138"/>
    <mergeCell ref="C136:C138"/>
    <mergeCell ref="D136:D138"/>
    <mergeCell ref="C115:C117"/>
    <mergeCell ref="D115:D117"/>
    <mergeCell ref="A118:A120"/>
    <mergeCell ref="B118:B120"/>
    <mergeCell ref="C118:C120"/>
    <mergeCell ref="D118:D120"/>
    <mergeCell ref="A115:A117"/>
    <mergeCell ref="B115:B117"/>
    <mergeCell ref="A127:A129"/>
    <mergeCell ref="B127:B129"/>
    <mergeCell ref="C127:C129"/>
    <mergeCell ref="D127:D129"/>
    <mergeCell ref="A136:A138"/>
    <mergeCell ref="A130:A132"/>
    <mergeCell ref="A133:A135"/>
    <mergeCell ref="B133:B135"/>
    <mergeCell ref="C133:C135"/>
    <mergeCell ref="D133:D135"/>
    <mergeCell ref="M25:Q26"/>
    <mergeCell ref="M52:Q53"/>
    <mergeCell ref="A121:A123"/>
    <mergeCell ref="B121:B123"/>
    <mergeCell ref="C121:C123"/>
    <mergeCell ref="D121:D123"/>
    <mergeCell ref="A124:A126"/>
    <mergeCell ref="B124:B126"/>
    <mergeCell ref="C124:C126"/>
    <mergeCell ref="D124:D126"/>
    <mergeCell ref="M116:Q119"/>
    <mergeCell ref="B109:B111"/>
    <mergeCell ref="C109:C111"/>
    <mergeCell ref="D109:D111"/>
    <mergeCell ref="A112:A114"/>
    <mergeCell ref="B112:B114"/>
    <mergeCell ref="C112:C114"/>
    <mergeCell ref="D112:D114"/>
    <mergeCell ref="A100:A102"/>
    <mergeCell ref="B100:B102"/>
    <mergeCell ref="C100:C102"/>
    <mergeCell ref="D100:D102"/>
    <mergeCell ref="A103:A105"/>
    <mergeCell ref="A106:A108"/>
  </mergeCells>
  <phoneticPr fontId="9" type="noConversion"/>
  <printOptions horizontalCentered="1"/>
  <pageMargins left="0" right="0" top="0.15748031496062992" bottom="0.15748031496062992" header="0.31496062992125984" footer="0.31496062992125984"/>
  <pageSetup paperSize="9" scale="80" orientation="landscape" r:id="rId1"/>
  <rowBreaks count="5" manualBreakCount="5">
    <brk id="42" max="11" man="1"/>
    <brk id="81" max="11" man="1"/>
    <brk id="123" max="11" man="1"/>
    <brk id="166" max="11" man="1"/>
    <brk id="167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59999389629810485"/>
  </sheetPr>
  <dimension ref="A1:R75"/>
  <sheetViews>
    <sheetView zoomScaleNormal="100" workbookViewId="0">
      <selection activeCell="T13" sqref="T13"/>
    </sheetView>
  </sheetViews>
  <sheetFormatPr defaultRowHeight="15.75" x14ac:dyDescent="0.25"/>
  <cols>
    <col min="1" max="1" width="5.5703125" style="15" customWidth="1"/>
    <col min="2" max="2" width="4.28515625" style="15" customWidth="1"/>
    <col min="3" max="3" width="3.7109375" style="3" customWidth="1"/>
    <col min="4" max="4" width="37.7109375" style="3" customWidth="1"/>
    <col min="5" max="6" width="14.28515625" style="5" customWidth="1"/>
    <col min="7" max="7" width="14.7109375" style="5" customWidth="1"/>
    <col min="8" max="8" width="7.7109375" style="5" customWidth="1"/>
    <col min="9" max="9" width="6.5703125" style="11" customWidth="1"/>
    <col min="10" max="10" width="4.28515625" style="11" customWidth="1"/>
    <col min="11" max="11" width="3.7109375" style="11" customWidth="1"/>
    <col min="12" max="12" width="37.7109375" style="3" customWidth="1"/>
    <col min="13" max="13" width="12.7109375" style="5" customWidth="1"/>
    <col min="14" max="14" width="14.85546875" style="5" customWidth="1"/>
    <col min="15" max="15" width="14.42578125" style="5" customWidth="1"/>
    <col min="16" max="16" width="7.7109375" style="5" customWidth="1"/>
    <col min="17" max="17" width="9.140625" style="8" customWidth="1"/>
    <col min="18" max="16384" width="9.140625" style="3"/>
  </cols>
  <sheetData>
    <row r="1" spans="1:17" x14ac:dyDescent="0.25">
      <c r="L1" s="458" t="s">
        <v>319</v>
      </c>
      <c r="M1" s="458"/>
      <c r="N1" s="458"/>
      <c r="O1" s="458"/>
      <c r="P1" s="458"/>
    </row>
    <row r="2" spans="1:17" x14ac:dyDescent="0.25">
      <c r="L2" s="458"/>
      <c r="M2" s="458"/>
      <c r="N2" s="458"/>
      <c r="O2" s="458"/>
      <c r="P2" s="458"/>
    </row>
    <row r="3" spans="1:17" ht="15.95" customHeight="1" x14ac:dyDescent="0.25">
      <c r="A3" s="470" t="s">
        <v>357</v>
      </c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470"/>
      <c r="Q3" s="8" t="s">
        <v>33</v>
      </c>
    </row>
    <row r="4" spans="1:17" ht="15.95" customHeight="1" x14ac:dyDescent="0.25">
      <c r="A4" s="470" t="s">
        <v>26</v>
      </c>
      <c r="B4" s="470"/>
      <c r="C4" s="470"/>
      <c r="D4" s="470"/>
      <c r="E4" s="470"/>
      <c r="F4" s="470"/>
      <c r="G4" s="470"/>
      <c r="H4" s="470"/>
      <c r="I4" s="470"/>
      <c r="J4" s="470"/>
      <c r="K4" s="470"/>
      <c r="L4" s="470"/>
      <c r="M4" s="470"/>
      <c r="N4" s="470"/>
      <c r="O4" s="470"/>
      <c r="P4" s="470"/>
    </row>
    <row r="5" spans="1:17" ht="15.95" customHeight="1" x14ac:dyDescent="0.25">
      <c r="A5" s="470" t="s">
        <v>44</v>
      </c>
      <c r="B5" s="470"/>
      <c r="C5" s="470"/>
      <c r="D5" s="470"/>
      <c r="E5" s="470"/>
      <c r="F5" s="470"/>
      <c r="G5" s="470"/>
      <c r="H5" s="470"/>
      <c r="I5" s="470"/>
      <c r="J5" s="470"/>
      <c r="K5" s="470"/>
      <c r="L5" s="470"/>
      <c r="M5" s="470"/>
      <c r="N5" s="470"/>
      <c r="O5" s="470"/>
      <c r="P5" s="470"/>
    </row>
    <row r="6" spans="1:17" ht="15.95" customHeight="1" x14ac:dyDescent="0.25">
      <c r="A6" s="470" t="s">
        <v>287</v>
      </c>
      <c r="B6" s="470"/>
      <c r="C6" s="470"/>
      <c r="D6" s="470"/>
      <c r="E6" s="470"/>
      <c r="F6" s="470"/>
      <c r="G6" s="470"/>
      <c r="H6" s="470"/>
      <c r="I6" s="470"/>
      <c r="J6" s="470"/>
      <c r="K6" s="470"/>
      <c r="L6" s="470"/>
      <c r="M6" s="470"/>
      <c r="N6" s="470"/>
      <c r="O6" s="470"/>
      <c r="P6" s="470"/>
    </row>
    <row r="7" spans="1:17" ht="15.95" customHeight="1" x14ac:dyDescent="0.25">
      <c r="A7" s="470"/>
      <c r="B7" s="470"/>
      <c r="C7" s="470"/>
      <c r="D7" s="470"/>
      <c r="E7" s="470"/>
      <c r="F7" s="470"/>
      <c r="G7" s="470"/>
      <c r="H7" s="470"/>
      <c r="I7" s="470"/>
      <c r="J7" s="470"/>
      <c r="K7" s="470"/>
      <c r="L7" s="470"/>
      <c r="M7" s="470"/>
      <c r="N7" s="470"/>
      <c r="O7" s="470"/>
      <c r="P7" s="470"/>
    </row>
    <row r="8" spans="1:17" ht="15.95" customHeight="1" thickBot="1" x14ac:dyDescent="0.35">
      <c r="D8" s="533"/>
      <c r="E8" s="533"/>
      <c r="F8" s="533"/>
      <c r="G8" s="533"/>
      <c r="H8" s="533"/>
      <c r="I8" s="533"/>
      <c r="J8" s="533"/>
      <c r="K8" s="533"/>
      <c r="L8" s="533"/>
      <c r="O8" s="3"/>
      <c r="P8" s="208" t="s">
        <v>252</v>
      </c>
    </row>
    <row r="9" spans="1:17" s="6" customFormat="1" ht="21.95" customHeight="1" x14ac:dyDescent="0.2">
      <c r="A9" s="530" t="s">
        <v>42</v>
      </c>
      <c r="B9" s="531"/>
      <c r="C9" s="531"/>
      <c r="D9" s="531"/>
      <c r="E9" s="531"/>
      <c r="F9" s="531"/>
      <c r="G9" s="531"/>
      <c r="H9" s="532"/>
      <c r="I9" s="530" t="s">
        <v>43</v>
      </c>
      <c r="J9" s="531"/>
      <c r="K9" s="531"/>
      <c r="L9" s="531"/>
      <c r="M9" s="531"/>
      <c r="N9" s="531"/>
      <c r="O9" s="531"/>
      <c r="P9" s="532"/>
      <c r="Q9" s="104"/>
    </row>
    <row r="10" spans="1:17" s="6" customFormat="1" ht="59.25" customHeight="1" thickBot="1" x14ac:dyDescent="0.25">
      <c r="A10" s="350" t="s">
        <v>83</v>
      </c>
      <c r="B10" s="351" t="s">
        <v>84</v>
      </c>
      <c r="C10" s="522"/>
      <c r="D10" s="523"/>
      <c r="E10" s="349" t="s">
        <v>251</v>
      </c>
      <c r="F10" s="352" t="s">
        <v>289</v>
      </c>
      <c r="G10" s="349" t="s">
        <v>290</v>
      </c>
      <c r="H10" s="353" t="s">
        <v>257</v>
      </c>
      <c r="I10" s="350" t="s">
        <v>83</v>
      </c>
      <c r="J10" s="351" t="s">
        <v>84</v>
      </c>
      <c r="K10" s="524"/>
      <c r="L10" s="525"/>
      <c r="M10" s="349" t="s">
        <v>251</v>
      </c>
      <c r="N10" s="352" t="s">
        <v>289</v>
      </c>
      <c r="O10" s="349" t="s">
        <v>290</v>
      </c>
      <c r="P10" s="353" t="s">
        <v>257</v>
      </c>
      <c r="Q10" s="104"/>
    </row>
    <row r="11" spans="1:17" s="1" customFormat="1" ht="18" customHeight="1" x14ac:dyDescent="0.2">
      <c r="A11" s="527" t="s">
        <v>41</v>
      </c>
      <c r="B11" s="528"/>
      <c r="C11" s="528"/>
      <c r="D11" s="528"/>
      <c r="E11" s="528"/>
      <c r="F11" s="528"/>
      <c r="G11" s="528"/>
      <c r="H11" s="528"/>
      <c r="I11" s="528"/>
      <c r="J11" s="528"/>
      <c r="K11" s="528"/>
      <c r="L11" s="528"/>
      <c r="M11" s="528"/>
      <c r="N11" s="528"/>
      <c r="O11" s="528"/>
      <c r="P11" s="529"/>
      <c r="Q11" s="105"/>
    </row>
    <row r="12" spans="1:17" s="2" customFormat="1" ht="18" customHeight="1" x14ac:dyDescent="0.2">
      <c r="A12" s="37" t="s">
        <v>0</v>
      </c>
      <c r="B12" s="464" t="s">
        <v>40</v>
      </c>
      <c r="C12" s="465"/>
      <c r="D12" s="466"/>
      <c r="E12" s="166">
        <f>E13+E17+E21+E25</f>
        <v>471922621</v>
      </c>
      <c r="F12" s="166">
        <f>F13+F17+F21+F25</f>
        <v>1152572581</v>
      </c>
      <c r="G12" s="164">
        <f>G13+G17+G21+G25</f>
        <v>1066682875</v>
      </c>
      <c r="H12" s="185">
        <f>+G12/F12*100</f>
        <v>92.548000237392429</v>
      </c>
      <c r="I12" s="38" t="s">
        <v>0</v>
      </c>
      <c r="J12" s="498" t="s">
        <v>20</v>
      </c>
      <c r="K12" s="499"/>
      <c r="L12" s="500"/>
      <c r="M12" s="163">
        <f>M13+M17+M21+M29+M25</f>
        <v>333057520</v>
      </c>
      <c r="N12" s="163">
        <f t="shared" ref="N12:O12" si="0">N13+N17+N21+N29+N25</f>
        <v>1260255496</v>
      </c>
      <c r="O12" s="163">
        <f t="shared" si="0"/>
        <v>675762877</v>
      </c>
      <c r="P12" s="165">
        <f>+O12/N12*100</f>
        <v>53.621101367527778</v>
      </c>
      <c r="Q12" s="106"/>
    </row>
    <row r="13" spans="1:17" s="1" customFormat="1" ht="18" customHeight="1" x14ac:dyDescent="0.2">
      <c r="A13" s="17"/>
      <c r="B13" s="459" t="s">
        <v>54</v>
      </c>
      <c r="C13" s="473" t="s">
        <v>260</v>
      </c>
      <c r="D13" s="474"/>
      <c r="E13" s="186">
        <f>E14+E15+E16</f>
        <v>384963130</v>
      </c>
      <c r="F13" s="186">
        <f>F14+F15+F16</f>
        <v>1036138315</v>
      </c>
      <c r="G13" s="166">
        <f>G14+G15+G16</f>
        <v>959154588</v>
      </c>
      <c r="H13" s="185">
        <f t="shared" ref="H13:H26" si="1">+G13/F13*100</f>
        <v>92.570130272617121</v>
      </c>
      <c r="I13" s="13"/>
      <c r="J13" s="467" t="s">
        <v>49</v>
      </c>
      <c r="K13" s="475" t="s">
        <v>16</v>
      </c>
      <c r="L13" s="475"/>
      <c r="M13" s="166">
        <f>M14+M15+M16</f>
        <v>151595057</v>
      </c>
      <c r="N13" s="166">
        <f t="shared" ref="N13:O13" si="2">N14+N15+N16</f>
        <v>236132146</v>
      </c>
      <c r="O13" s="166">
        <f t="shared" si="2"/>
        <v>210282363</v>
      </c>
      <c r="P13" s="165">
        <f>+O13/N13*100</f>
        <v>89.052831883381103</v>
      </c>
      <c r="Q13" s="105"/>
    </row>
    <row r="14" spans="1:17" s="1" customFormat="1" ht="18" customHeight="1" x14ac:dyDescent="0.2">
      <c r="A14" s="17"/>
      <c r="B14" s="460"/>
      <c r="C14" s="19" t="s">
        <v>1</v>
      </c>
      <c r="D14" s="20" t="s">
        <v>10</v>
      </c>
      <c r="E14" s="187">
        <v>384963130</v>
      </c>
      <c r="F14" s="187">
        <v>1036138315</v>
      </c>
      <c r="G14" s="167">
        <v>959154588</v>
      </c>
      <c r="H14" s="188">
        <f t="shared" si="1"/>
        <v>92.570130272617121</v>
      </c>
      <c r="I14" s="13"/>
      <c r="J14" s="468"/>
      <c r="K14" s="19" t="s">
        <v>1</v>
      </c>
      <c r="L14" s="20" t="s">
        <v>10</v>
      </c>
      <c r="M14" s="167">
        <v>148035991</v>
      </c>
      <c r="N14" s="168">
        <v>233342240</v>
      </c>
      <c r="O14" s="409">
        <v>209507273</v>
      </c>
      <c r="P14" s="170">
        <f t="shared" ref="P14:P37" si="3">+O14/N14*100</f>
        <v>89.785404048576893</v>
      </c>
      <c r="Q14" s="105"/>
    </row>
    <row r="15" spans="1:17" s="1" customFormat="1" ht="18" customHeight="1" x14ac:dyDescent="0.2">
      <c r="A15" s="17"/>
      <c r="B15" s="460"/>
      <c r="C15" s="19" t="s">
        <v>2</v>
      </c>
      <c r="D15" s="20" t="s">
        <v>12</v>
      </c>
      <c r="E15" s="187">
        <v>0</v>
      </c>
      <c r="F15" s="187">
        <v>0</v>
      </c>
      <c r="G15" s="167">
        <v>0</v>
      </c>
      <c r="H15" s="188">
        <v>0</v>
      </c>
      <c r="I15" s="13"/>
      <c r="J15" s="468"/>
      <c r="K15" s="19" t="s">
        <v>2</v>
      </c>
      <c r="L15" s="20" t="s">
        <v>12</v>
      </c>
      <c r="M15" s="167">
        <v>3559066</v>
      </c>
      <c r="N15" s="168">
        <v>2789906</v>
      </c>
      <c r="O15" s="409">
        <v>775090</v>
      </c>
      <c r="P15" s="170">
        <f t="shared" si="3"/>
        <v>27.781939606567391</v>
      </c>
      <c r="Q15" s="105"/>
    </row>
    <row r="16" spans="1:17" s="1" customFormat="1" ht="18" customHeight="1" x14ac:dyDescent="0.2">
      <c r="A16" s="17"/>
      <c r="B16" s="461"/>
      <c r="C16" s="19" t="s">
        <v>4</v>
      </c>
      <c r="D16" s="20" t="s">
        <v>11</v>
      </c>
      <c r="E16" s="187">
        <v>0</v>
      </c>
      <c r="F16" s="187">
        <v>0</v>
      </c>
      <c r="G16" s="167">
        <v>0</v>
      </c>
      <c r="H16" s="188">
        <v>0</v>
      </c>
      <c r="I16" s="13"/>
      <c r="J16" s="469"/>
      <c r="K16" s="19" t="s">
        <v>4</v>
      </c>
      <c r="L16" s="20" t="s">
        <v>11</v>
      </c>
      <c r="M16" s="167">
        <v>0</v>
      </c>
      <c r="N16" s="168">
        <v>0</v>
      </c>
      <c r="O16" s="168">
        <v>0</v>
      </c>
      <c r="P16" s="170">
        <v>0</v>
      </c>
      <c r="Q16" s="105"/>
    </row>
    <row r="17" spans="1:18" s="1" customFormat="1" ht="18" customHeight="1" x14ac:dyDescent="0.2">
      <c r="A17" s="17"/>
      <c r="B17" s="459" t="s">
        <v>67</v>
      </c>
      <c r="C17" s="471" t="s">
        <v>6</v>
      </c>
      <c r="D17" s="472"/>
      <c r="E17" s="186">
        <f>E18+E19+E20</f>
        <v>0</v>
      </c>
      <c r="F17" s="186">
        <v>0</v>
      </c>
      <c r="G17" s="166">
        <f>G18+G19+G20</f>
        <v>0</v>
      </c>
      <c r="H17" s="188">
        <v>0</v>
      </c>
      <c r="I17" s="13"/>
      <c r="J17" s="467" t="s">
        <v>50</v>
      </c>
      <c r="K17" s="526" t="s">
        <v>19</v>
      </c>
      <c r="L17" s="526"/>
      <c r="M17" s="166">
        <f>M18+M19+M20</f>
        <v>19027475</v>
      </c>
      <c r="N17" s="166">
        <f t="shared" ref="N17:O17" si="4">N18+N19+N20</f>
        <v>27260630</v>
      </c>
      <c r="O17" s="166">
        <f t="shared" si="4"/>
        <v>16198168</v>
      </c>
      <c r="P17" s="165">
        <f t="shared" si="3"/>
        <v>59.419639237977997</v>
      </c>
      <c r="Q17" s="105"/>
    </row>
    <row r="18" spans="1:18" s="1" customFormat="1" ht="18" customHeight="1" x14ac:dyDescent="0.2">
      <c r="A18" s="17"/>
      <c r="B18" s="460"/>
      <c r="C18" s="19" t="s">
        <v>1</v>
      </c>
      <c r="D18" s="20" t="s">
        <v>10</v>
      </c>
      <c r="E18" s="187">
        <v>0</v>
      </c>
      <c r="F18" s="187">
        <v>0</v>
      </c>
      <c r="G18" s="167">
        <v>0</v>
      </c>
      <c r="H18" s="188">
        <v>0</v>
      </c>
      <c r="I18" s="13"/>
      <c r="J18" s="468"/>
      <c r="K18" s="19" t="s">
        <v>1</v>
      </c>
      <c r="L18" s="20" t="s">
        <v>10</v>
      </c>
      <c r="M18" s="167">
        <v>18574220</v>
      </c>
      <c r="N18" s="167">
        <v>26147619</v>
      </c>
      <c r="O18" s="409">
        <v>16040929</v>
      </c>
      <c r="P18" s="170">
        <f t="shared" si="3"/>
        <v>61.347570499631345</v>
      </c>
      <c r="Q18" s="105"/>
    </row>
    <row r="19" spans="1:18" s="1" customFormat="1" ht="18" customHeight="1" x14ac:dyDescent="0.2">
      <c r="A19" s="17"/>
      <c r="B19" s="460"/>
      <c r="C19" s="19" t="s">
        <v>2</v>
      </c>
      <c r="D19" s="20" t="s">
        <v>12</v>
      </c>
      <c r="E19" s="187">
        <v>0</v>
      </c>
      <c r="F19" s="187">
        <v>0</v>
      </c>
      <c r="G19" s="167">
        <v>0</v>
      </c>
      <c r="H19" s="188">
        <v>0</v>
      </c>
      <c r="I19" s="13"/>
      <c r="J19" s="468"/>
      <c r="K19" s="19" t="s">
        <v>2</v>
      </c>
      <c r="L19" s="20" t="s">
        <v>12</v>
      </c>
      <c r="M19" s="167">
        <v>453255</v>
      </c>
      <c r="N19" s="167">
        <v>1113011</v>
      </c>
      <c r="O19" s="409">
        <v>157239</v>
      </c>
      <c r="P19" s="170">
        <f t="shared" si="3"/>
        <v>14.127353638014359</v>
      </c>
      <c r="Q19" s="105"/>
    </row>
    <row r="20" spans="1:18" s="1" customFormat="1" ht="18" customHeight="1" x14ac:dyDescent="0.2">
      <c r="A20" s="17"/>
      <c r="B20" s="461"/>
      <c r="C20" s="19" t="s">
        <v>4</v>
      </c>
      <c r="D20" s="20" t="s">
        <v>11</v>
      </c>
      <c r="E20" s="187">
        <v>0</v>
      </c>
      <c r="F20" s="187">
        <v>0</v>
      </c>
      <c r="G20" s="167">
        <v>0</v>
      </c>
      <c r="H20" s="188">
        <v>0</v>
      </c>
      <c r="I20" s="13"/>
      <c r="J20" s="469"/>
      <c r="K20" s="19" t="s">
        <v>4</v>
      </c>
      <c r="L20" s="20" t="s">
        <v>11</v>
      </c>
      <c r="M20" s="167">
        <v>0</v>
      </c>
      <c r="N20" s="168">
        <v>0</v>
      </c>
      <c r="O20" s="168">
        <v>0</v>
      </c>
      <c r="P20" s="170">
        <v>0</v>
      </c>
      <c r="Q20" s="105"/>
    </row>
    <row r="21" spans="1:18" s="1" customFormat="1" ht="18" customHeight="1" x14ac:dyDescent="0.2">
      <c r="A21" s="17"/>
      <c r="B21" s="459" t="s">
        <v>68</v>
      </c>
      <c r="C21" s="471" t="s">
        <v>32</v>
      </c>
      <c r="D21" s="472"/>
      <c r="E21" s="186">
        <f>E22+E23+E24</f>
        <v>7566056</v>
      </c>
      <c r="F21" s="186">
        <f>F22+F23+F24</f>
        <v>10330157</v>
      </c>
      <c r="G21" s="166">
        <f>G22+G23+G24</f>
        <v>10340473</v>
      </c>
      <c r="H21" s="185">
        <f t="shared" si="1"/>
        <v>100.09986295464822</v>
      </c>
      <c r="I21" s="13"/>
      <c r="J21" s="467" t="s">
        <v>51</v>
      </c>
      <c r="K21" s="482" t="s">
        <v>31</v>
      </c>
      <c r="L21" s="482"/>
      <c r="M21" s="166">
        <f>M22+M23+M24</f>
        <v>124446096</v>
      </c>
      <c r="N21" s="166">
        <f t="shared" ref="N21:O21" si="5">N22+N23+N24</f>
        <v>704091419</v>
      </c>
      <c r="O21" s="166">
        <f t="shared" si="5"/>
        <v>357664038</v>
      </c>
      <c r="P21" s="165">
        <f t="shared" si="3"/>
        <v>50.797954405974657</v>
      </c>
      <c r="Q21" s="105"/>
    </row>
    <row r="22" spans="1:18" s="1" customFormat="1" ht="18" customHeight="1" x14ac:dyDescent="0.2">
      <c r="A22" s="17"/>
      <c r="B22" s="460"/>
      <c r="C22" s="19" t="s">
        <v>1</v>
      </c>
      <c r="D22" s="20" t="s">
        <v>10</v>
      </c>
      <c r="E22" s="187">
        <v>7566056</v>
      </c>
      <c r="F22" s="187">
        <v>10330157</v>
      </c>
      <c r="G22" s="167">
        <v>10340473</v>
      </c>
      <c r="H22" s="188">
        <f t="shared" si="1"/>
        <v>100.09986295464822</v>
      </c>
      <c r="I22" s="13"/>
      <c r="J22" s="468"/>
      <c r="K22" s="19" t="s">
        <v>1</v>
      </c>
      <c r="L22" s="20" t="s">
        <v>10</v>
      </c>
      <c r="M22" s="167">
        <v>122409889</v>
      </c>
      <c r="N22" s="168">
        <v>701378825</v>
      </c>
      <c r="O22" s="410">
        <v>356202151</v>
      </c>
      <c r="P22" s="170">
        <f t="shared" si="3"/>
        <v>50.785985875749816</v>
      </c>
      <c r="Q22" s="105"/>
    </row>
    <row r="23" spans="1:18" s="1" customFormat="1" ht="18" customHeight="1" x14ac:dyDescent="0.2">
      <c r="A23" s="17"/>
      <c r="B23" s="460"/>
      <c r="C23" s="19" t="s">
        <v>2</v>
      </c>
      <c r="D23" s="20" t="s">
        <v>12</v>
      </c>
      <c r="E23" s="187">
        <v>0</v>
      </c>
      <c r="F23" s="187">
        <v>0</v>
      </c>
      <c r="G23" s="167">
        <v>0</v>
      </c>
      <c r="H23" s="188">
        <v>0</v>
      </c>
      <c r="I23" s="13"/>
      <c r="J23" s="468"/>
      <c r="K23" s="19" t="s">
        <v>2</v>
      </c>
      <c r="L23" s="20" t="s">
        <v>12</v>
      </c>
      <c r="M23" s="167">
        <v>2036207</v>
      </c>
      <c r="N23" s="168">
        <v>2712594</v>
      </c>
      <c r="O23" s="409">
        <v>1461887</v>
      </c>
      <c r="P23" s="170">
        <f t="shared" si="3"/>
        <v>53.892583998932388</v>
      </c>
      <c r="Q23" s="105"/>
    </row>
    <row r="24" spans="1:18" s="1" customFormat="1" ht="18" customHeight="1" x14ac:dyDescent="0.2">
      <c r="A24" s="17"/>
      <c r="B24" s="461"/>
      <c r="C24" s="19" t="s">
        <v>4</v>
      </c>
      <c r="D24" s="20" t="s">
        <v>11</v>
      </c>
      <c r="E24" s="187">
        <v>0</v>
      </c>
      <c r="F24" s="187">
        <v>0</v>
      </c>
      <c r="G24" s="167">
        <v>0</v>
      </c>
      <c r="H24" s="188">
        <v>0</v>
      </c>
      <c r="I24" s="13"/>
      <c r="J24" s="469"/>
      <c r="K24" s="19" t="s">
        <v>4</v>
      </c>
      <c r="L24" s="20" t="s">
        <v>11</v>
      </c>
      <c r="M24" s="167">
        <v>0</v>
      </c>
      <c r="N24" s="168">
        <v>0</v>
      </c>
      <c r="O24" s="168">
        <v>0</v>
      </c>
      <c r="P24" s="170">
        <v>0</v>
      </c>
      <c r="Q24" s="105"/>
    </row>
    <row r="25" spans="1:18" s="1" customFormat="1" ht="18" customHeight="1" x14ac:dyDescent="0.2">
      <c r="A25" s="17"/>
      <c r="B25" s="459" t="s">
        <v>70</v>
      </c>
      <c r="C25" s="462" t="s">
        <v>46</v>
      </c>
      <c r="D25" s="463"/>
      <c r="E25" s="186">
        <f>E26+E27+E28</f>
        <v>79393435</v>
      </c>
      <c r="F25" s="186">
        <f>F26+F27+F28</f>
        <v>106104109</v>
      </c>
      <c r="G25" s="166">
        <f>G26+G27+G28</f>
        <v>97187814</v>
      </c>
      <c r="H25" s="185">
        <f t="shared" si="1"/>
        <v>91.596654376504873</v>
      </c>
      <c r="I25" s="13"/>
      <c r="J25" s="467" t="s">
        <v>52</v>
      </c>
      <c r="K25" s="475" t="s">
        <v>8</v>
      </c>
      <c r="L25" s="475"/>
      <c r="M25" s="166">
        <f>M26+M27+M28</f>
        <v>0</v>
      </c>
      <c r="N25" s="166">
        <v>0</v>
      </c>
      <c r="O25" s="164">
        <v>0</v>
      </c>
      <c r="P25" s="165">
        <v>0</v>
      </c>
      <c r="Q25" s="105"/>
    </row>
    <row r="26" spans="1:18" s="1" customFormat="1" ht="18" customHeight="1" x14ac:dyDescent="0.2">
      <c r="A26" s="17"/>
      <c r="B26" s="460"/>
      <c r="C26" s="19" t="s">
        <v>1</v>
      </c>
      <c r="D26" s="20" t="s">
        <v>10</v>
      </c>
      <c r="E26" s="187">
        <v>79393435</v>
      </c>
      <c r="F26" s="187">
        <v>106104109</v>
      </c>
      <c r="G26" s="167">
        <v>97187814</v>
      </c>
      <c r="H26" s="188">
        <f t="shared" si="1"/>
        <v>91.596654376504873</v>
      </c>
      <c r="I26" s="13"/>
      <c r="J26" s="468"/>
      <c r="K26" s="19" t="s">
        <v>1</v>
      </c>
      <c r="L26" s="20" t="s">
        <v>10</v>
      </c>
      <c r="M26" s="167">
        <v>0</v>
      </c>
      <c r="N26" s="168">
        <v>0</v>
      </c>
      <c r="O26" s="168">
        <v>0</v>
      </c>
      <c r="P26" s="170">
        <v>0</v>
      </c>
      <c r="Q26" s="105"/>
    </row>
    <row r="27" spans="1:18" s="1" customFormat="1" ht="18" customHeight="1" x14ac:dyDescent="0.2">
      <c r="A27" s="17"/>
      <c r="B27" s="460"/>
      <c r="C27" s="19" t="s">
        <v>2</v>
      </c>
      <c r="D27" s="20" t="s">
        <v>12</v>
      </c>
      <c r="E27" s="187">
        <v>0</v>
      </c>
      <c r="F27" s="187">
        <v>0</v>
      </c>
      <c r="G27" s="167">
        <v>0</v>
      </c>
      <c r="H27" s="188">
        <v>0</v>
      </c>
      <c r="I27" s="13"/>
      <c r="J27" s="468"/>
      <c r="K27" s="19" t="s">
        <v>2</v>
      </c>
      <c r="L27" s="20" t="s">
        <v>12</v>
      </c>
      <c r="M27" s="167">
        <v>0</v>
      </c>
      <c r="N27" s="168">
        <v>0</v>
      </c>
      <c r="O27" s="168">
        <v>0</v>
      </c>
      <c r="P27" s="170">
        <v>0</v>
      </c>
      <c r="Q27" s="105"/>
    </row>
    <row r="28" spans="1:18" s="1" customFormat="1" ht="18" customHeight="1" x14ac:dyDescent="0.2">
      <c r="A28" s="18"/>
      <c r="B28" s="461"/>
      <c r="C28" s="19" t="s">
        <v>4</v>
      </c>
      <c r="D28" s="20" t="s">
        <v>11</v>
      </c>
      <c r="E28" s="187">
        <v>0</v>
      </c>
      <c r="F28" s="187">
        <v>0</v>
      </c>
      <c r="G28" s="167">
        <v>0</v>
      </c>
      <c r="H28" s="188">
        <v>0</v>
      </c>
      <c r="I28" s="13"/>
      <c r="J28" s="469"/>
      <c r="K28" s="19" t="s">
        <v>4</v>
      </c>
      <c r="L28" s="20" t="s">
        <v>11</v>
      </c>
      <c r="M28" s="167">
        <v>0</v>
      </c>
      <c r="N28" s="168">
        <v>0</v>
      </c>
      <c r="O28" s="168">
        <v>0</v>
      </c>
      <c r="P28" s="170">
        <v>0</v>
      </c>
      <c r="Q28" s="105"/>
    </row>
    <row r="29" spans="1:18" s="1" customFormat="1" ht="18" customHeight="1" x14ac:dyDescent="0.2">
      <c r="A29" s="486"/>
      <c r="B29" s="487"/>
      <c r="C29" s="487"/>
      <c r="D29" s="487"/>
      <c r="E29" s="487"/>
      <c r="F29" s="487"/>
      <c r="G29" s="487"/>
      <c r="H29" s="488"/>
      <c r="I29" s="13"/>
      <c r="J29" s="467" t="s">
        <v>53</v>
      </c>
      <c r="K29" s="482" t="s">
        <v>13</v>
      </c>
      <c r="L29" s="482"/>
      <c r="M29" s="166">
        <f>M30+M33+M34</f>
        <v>37988892</v>
      </c>
      <c r="N29" s="166">
        <f>N30+N33+N34</f>
        <v>292771301</v>
      </c>
      <c r="O29" s="166">
        <f t="shared" ref="O29" si="6">O30+O33+O34</f>
        <v>91618308</v>
      </c>
      <c r="P29" s="237">
        <f t="shared" si="3"/>
        <v>31.29347298969034</v>
      </c>
      <c r="Q29" s="105"/>
    </row>
    <row r="30" spans="1:18" s="1" customFormat="1" ht="18" customHeight="1" x14ac:dyDescent="0.2">
      <c r="A30" s="489"/>
      <c r="B30" s="490"/>
      <c r="C30" s="490"/>
      <c r="D30" s="490"/>
      <c r="E30" s="490"/>
      <c r="F30" s="490"/>
      <c r="G30" s="490"/>
      <c r="H30" s="491"/>
      <c r="I30" s="13"/>
      <c r="J30" s="468"/>
      <c r="K30" s="19" t="s">
        <v>1</v>
      </c>
      <c r="L30" s="20" t="s">
        <v>10</v>
      </c>
      <c r="M30" s="167">
        <v>34000892</v>
      </c>
      <c r="N30" s="168">
        <v>285371301</v>
      </c>
      <c r="O30" s="411">
        <v>86084480</v>
      </c>
      <c r="P30" s="172">
        <f t="shared" si="3"/>
        <v>30.165780405507558</v>
      </c>
      <c r="Q30" s="105"/>
    </row>
    <row r="31" spans="1:18" s="1" customFormat="1" ht="18" customHeight="1" x14ac:dyDescent="0.2">
      <c r="A31" s="489"/>
      <c r="B31" s="490"/>
      <c r="C31" s="490"/>
      <c r="D31" s="490"/>
      <c r="E31" s="490"/>
      <c r="F31" s="490"/>
      <c r="G31" s="490"/>
      <c r="H31" s="491"/>
      <c r="I31" s="13"/>
      <c r="J31" s="468"/>
      <c r="K31" s="33" t="s">
        <v>85</v>
      </c>
      <c r="L31" s="34" t="s">
        <v>87</v>
      </c>
      <c r="M31" s="238">
        <v>0</v>
      </c>
      <c r="N31" s="239">
        <v>103048774</v>
      </c>
      <c r="O31" s="412">
        <v>0</v>
      </c>
      <c r="P31" s="176">
        <f t="shared" si="3"/>
        <v>0</v>
      </c>
      <c r="Q31" s="105"/>
      <c r="R31" s="262"/>
    </row>
    <row r="32" spans="1:18" s="1" customFormat="1" ht="18" customHeight="1" x14ac:dyDescent="0.2">
      <c r="A32" s="489"/>
      <c r="B32" s="490"/>
      <c r="C32" s="490"/>
      <c r="D32" s="490"/>
      <c r="E32" s="490"/>
      <c r="F32" s="490"/>
      <c r="G32" s="490"/>
      <c r="H32" s="491"/>
      <c r="I32" s="13"/>
      <c r="J32" s="468"/>
      <c r="K32" s="33" t="s">
        <v>86</v>
      </c>
      <c r="L32" s="34" t="s">
        <v>88</v>
      </c>
      <c r="M32" s="238">
        <v>0</v>
      </c>
      <c r="N32" s="239">
        <v>48601291</v>
      </c>
      <c r="O32" s="412">
        <v>0</v>
      </c>
      <c r="P32" s="176">
        <f t="shared" si="3"/>
        <v>0</v>
      </c>
      <c r="Q32" s="105"/>
    </row>
    <row r="33" spans="1:17" s="1" customFormat="1" ht="18" customHeight="1" x14ac:dyDescent="0.2">
      <c r="A33" s="489"/>
      <c r="B33" s="490"/>
      <c r="C33" s="490"/>
      <c r="D33" s="490"/>
      <c r="E33" s="490"/>
      <c r="F33" s="490"/>
      <c r="G33" s="490"/>
      <c r="H33" s="491"/>
      <c r="I33" s="13"/>
      <c r="J33" s="468"/>
      <c r="K33" s="19" t="s">
        <v>2</v>
      </c>
      <c r="L33" s="20" t="s">
        <v>12</v>
      </c>
      <c r="M33" s="167">
        <v>3988000</v>
      </c>
      <c r="N33" s="168">
        <v>7400000</v>
      </c>
      <c r="O33" s="411">
        <v>5533828</v>
      </c>
      <c r="P33" s="172">
        <f t="shared" si="3"/>
        <v>74.781459459459455</v>
      </c>
      <c r="Q33" s="105"/>
    </row>
    <row r="34" spans="1:17" s="1" customFormat="1" ht="18" customHeight="1" x14ac:dyDescent="0.2">
      <c r="A34" s="492"/>
      <c r="B34" s="493"/>
      <c r="C34" s="493"/>
      <c r="D34" s="493"/>
      <c r="E34" s="493"/>
      <c r="F34" s="493"/>
      <c r="G34" s="493"/>
      <c r="H34" s="494"/>
      <c r="I34" s="12"/>
      <c r="J34" s="469"/>
      <c r="K34" s="19" t="s">
        <v>4</v>
      </c>
      <c r="L34" s="20" t="s">
        <v>11</v>
      </c>
      <c r="M34" s="167">
        <v>0</v>
      </c>
      <c r="N34" s="168">
        <v>0</v>
      </c>
      <c r="O34" s="171">
        <v>0</v>
      </c>
      <c r="P34" s="172">
        <v>0</v>
      </c>
      <c r="Q34" s="105"/>
    </row>
    <row r="35" spans="1:17" s="1" customFormat="1" ht="18" customHeight="1" x14ac:dyDescent="0.2">
      <c r="A35" s="35" t="s">
        <v>0</v>
      </c>
      <c r="B35" s="495" t="s">
        <v>22</v>
      </c>
      <c r="C35" s="496"/>
      <c r="D35" s="497"/>
      <c r="E35" s="189">
        <f>+E36+E37+E38</f>
        <v>471922621</v>
      </c>
      <c r="F35" s="189">
        <f>+F36+F37+F38</f>
        <v>1152572581</v>
      </c>
      <c r="G35" s="189">
        <f>+G36+G37+G38</f>
        <v>1066682875</v>
      </c>
      <c r="H35" s="190">
        <f>+G35/F35*100</f>
        <v>92.548000237392429</v>
      </c>
      <c r="I35" s="36" t="s">
        <v>0</v>
      </c>
      <c r="J35" s="545" t="s">
        <v>17</v>
      </c>
      <c r="K35" s="546"/>
      <c r="L35" s="546"/>
      <c r="M35" s="181">
        <f>+M36+M37+M38</f>
        <v>333057520</v>
      </c>
      <c r="N35" s="181">
        <f>+N36+N37+N38</f>
        <v>1260255496</v>
      </c>
      <c r="O35" s="181">
        <f>+O36+O37+O38</f>
        <v>675762877</v>
      </c>
      <c r="P35" s="182">
        <f t="shared" si="3"/>
        <v>53.621101367527778</v>
      </c>
      <c r="Q35" s="105"/>
    </row>
    <row r="36" spans="1:17" s="1" customFormat="1" ht="18" customHeight="1" x14ac:dyDescent="0.2">
      <c r="A36" s="24"/>
      <c r="B36" s="479" t="s">
        <v>73</v>
      </c>
      <c r="C36" s="25" t="s">
        <v>1</v>
      </c>
      <c r="D36" s="26" t="s">
        <v>10</v>
      </c>
      <c r="E36" s="191">
        <f t="shared" ref="E36:G38" si="7">+E26+E22+E18+E14</f>
        <v>471922621</v>
      </c>
      <c r="F36" s="191">
        <f t="shared" si="7"/>
        <v>1152572581</v>
      </c>
      <c r="G36" s="191">
        <f t="shared" si="7"/>
        <v>1066682875</v>
      </c>
      <c r="H36" s="192">
        <f t="shared" ref="H36" si="8">+G36/F36*100</f>
        <v>92.548000237392429</v>
      </c>
      <c r="I36" s="484"/>
      <c r="J36" s="483" t="s">
        <v>72</v>
      </c>
      <c r="K36" s="25" t="s">
        <v>1</v>
      </c>
      <c r="L36" s="26" t="s">
        <v>10</v>
      </c>
      <c r="M36" s="183">
        <f>+M30+M26+M22+M18+M14</f>
        <v>323020992</v>
      </c>
      <c r="N36" s="183">
        <f>+N30+N26+N22+N18+N14</f>
        <v>1246239985</v>
      </c>
      <c r="O36" s="183">
        <f>+O30+O26+O22+O18+O14</f>
        <v>667834833</v>
      </c>
      <c r="P36" s="184">
        <f t="shared" si="3"/>
        <v>53.587979926675203</v>
      </c>
      <c r="Q36" s="105"/>
    </row>
    <row r="37" spans="1:17" s="1" customFormat="1" ht="18" customHeight="1" x14ac:dyDescent="0.2">
      <c r="A37" s="24"/>
      <c r="B37" s="480"/>
      <c r="C37" s="25" t="s">
        <v>2</v>
      </c>
      <c r="D37" s="26" t="s">
        <v>12</v>
      </c>
      <c r="E37" s="191">
        <f t="shared" si="7"/>
        <v>0</v>
      </c>
      <c r="F37" s="191">
        <f t="shared" si="7"/>
        <v>0</v>
      </c>
      <c r="G37" s="191">
        <f t="shared" si="7"/>
        <v>0</v>
      </c>
      <c r="H37" s="192">
        <v>0</v>
      </c>
      <c r="I37" s="484"/>
      <c r="J37" s="483"/>
      <c r="K37" s="25" t="s">
        <v>2</v>
      </c>
      <c r="L37" s="26" t="s">
        <v>12</v>
      </c>
      <c r="M37" s="183">
        <f t="shared" ref="M37:O38" si="9">+M33+M27+M23+M19+M15</f>
        <v>10036528</v>
      </c>
      <c r="N37" s="183">
        <f t="shared" si="9"/>
        <v>14015511</v>
      </c>
      <c r="O37" s="183">
        <f t="shared" si="9"/>
        <v>7928044</v>
      </c>
      <c r="P37" s="184">
        <f t="shared" si="3"/>
        <v>56.566214389186378</v>
      </c>
      <c r="Q37" s="105"/>
    </row>
    <row r="38" spans="1:17" s="1" customFormat="1" ht="18" customHeight="1" x14ac:dyDescent="0.2">
      <c r="A38" s="27"/>
      <c r="B38" s="481"/>
      <c r="C38" s="25" t="s">
        <v>4</v>
      </c>
      <c r="D38" s="26" t="s">
        <v>11</v>
      </c>
      <c r="E38" s="191">
        <f t="shared" si="7"/>
        <v>0</v>
      </c>
      <c r="F38" s="191">
        <f t="shared" si="7"/>
        <v>0</v>
      </c>
      <c r="G38" s="191">
        <f t="shared" si="7"/>
        <v>0</v>
      </c>
      <c r="H38" s="192">
        <v>0</v>
      </c>
      <c r="I38" s="485"/>
      <c r="J38" s="483"/>
      <c r="K38" s="25" t="s">
        <v>4</v>
      </c>
      <c r="L38" s="26" t="s">
        <v>11</v>
      </c>
      <c r="M38" s="198">
        <f t="shared" si="9"/>
        <v>0</v>
      </c>
      <c r="N38" s="198">
        <f t="shared" si="9"/>
        <v>0</v>
      </c>
      <c r="O38" s="198">
        <f t="shared" si="9"/>
        <v>0</v>
      </c>
      <c r="P38" s="184">
        <v>0</v>
      </c>
      <c r="Q38" s="105"/>
    </row>
    <row r="39" spans="1:17" s="40" customFormat="1" ht="30.75" customHeight="1" thickBot="1" x14ac:dyDescent="0.25">
      <c r="A39" s="502" t="s">
        <v>89</v>
      </c>
      <c r="B39" s="503"/>
      <c r="C39" s="503"/>
      <c r="D39" s="504"/>
      <c r="E39" s="365"/>
      <c r="F39" s="365">
        <f>N35-F35</f>
        <v>107682915</v>
      </c>
      <c r="G39" s="365"/>
      <c r="H39" s="366"/>
      <c r="I39" s="502" t="s">
        <v>90</v>
      </c>
      <c r="J39" s="503"/>
      <c r="K39" s="503"/>
      <c r="L39" s="504"/>
      <c r="M39" s="365">
        <f>+E35-M35</f>
        <v>138865101</v>
      </c>
      <c r="N39" s="365"/>
      <c r="O39" s="354">
        <f>+G35-O35</f>
        <v>390919998</v>
      </c>
      <c r="P39" s="360"/>
      <c r="Q39" s="107"/>
    </row>
    <row r="40" spans="1:17" s="1" customFormat="1" ht="18" customHeight="1" x14ac:dyDescent="0.2">
      <c r="A40" s="527" t="s">
        <v>45</v>
      </c>
      <c r="B40" s="528"/>
      <c r="C40" s="528"/>
      <c r="D40" s="528"/>
      <c r="E40" s="528"/>
      <c r="F40" s="528"/>
      <c r="G40" s="528"/>
      <c r="H40" s="528"/>
      <c r="I40" s="528"/>
      <c r="J40" s="528"/>
      <c r="K40" s="528"/>
      <c r="L40" s="528"/>
      <c r="M40" s="528"/>
      <c r="N40" s="528"/>
      <c r="O40" s="528"/>
      <c r="P40" s="529"/>
      <c r="Q40" s="105"/>
    </row>
    <row r="41" spans="1:17" s="1" customFormat="1" ht="18" customHeight="1" x14ac:dyDescent="0.2">
      <c r="A41" s="16" t="s">
        <v>3</v>
      </c>
      <c r="B41" s="549" t="s">
        <v>23</v>
      </c>
      <c r="C41" s="550"/>
      <c r="D41" s="551"/>
      <c r="E41" s="166">
        <f>E42+E46+E50</f>
        <v>53921000</v>
      </c>
      <c r="F41" s="166">
        <f>F42+F46+F50</f>
        <v>16244053</v>
      </c>
      <c r="G41" s="166">
        <f>G42+G46+G50</f>
        <v>13274803</v>
      </c>
      <c r="H41" s="185">
        <f>G41/F41*100</f>
        <v>81.721002757132098</v>
      </c>
      <c r="I41" s="14" t="s">
        <v>3</v>
      </c>
      <c r="J41" s="552" t="s">
        <v>21</v>
      </c>
      <c r="K41" s="553"/>
      <c r="L41" s="554"/>
      <c r="M41" s="163">
        <f>M42+M46+M50</f>
        <v>107900097</v>
      </c>
      <c r="N41" s="163">
        <f>N42+N46+N50</f>
        <v>369973804</v>
      </c>
      <c r="O41" s="163">
        <f>O42+O46+O50</f>
        <v>228061020</v>
      </c>
      <c r="P41" s="185">
        <f>+O41/N41*100</f>
        <v>61.642477800941819</v>
      </c>
      <c r="Q41" s="105"/>
    </row>
    <row r="42" spans="1:17" s="1" customFormat="1" ht="18" customHeight="1" x14ac:dyDescent="0.2">
      <c r="A42" s="17"/>
      <c r="B42" s="459" t="s">
        <v>66</v>
      </c>
      <c r="C42" s="473" t="s">
        <v>258</v>
      </c>
      <c r="D42" s="474"/>
      <c r="E42" s="186">
        <f>E43+E44+E45</f>
        <v>53210000</v>
      </c>
      <c r="F42" s="186">
        <f>F43+F44+F45</f>
        <v>10000000</v>
      </c>
      <c r="G42" s="186">
        <f>G43+G44+G45</f>
        <v>10000000</v>
      </c>
      <c r="H42" s="185">
        <f t="shared" ref="H42:H51" si="10">G42/F42*100</f>
        <v>100</v>
      </c>
      <c r="I42" s="13"/>
      <c r="J42" s="467" t="s">
        <v>55</v>
      </c>
      <c r="K42" s="462" t="s">
        <v>14</v>
      </c>
      <c r="L42" s="463"/>
      <c r="M42" s="166">
        <f>M43+M44+M45</f>
        <v>105477970</v>
      </c>
      <c r="N42" s="166">
        <f>N43+N44+N45</f>
        <v>361933164</v>
      </c>
      <c r="O42" s="166">
        <f>O43+O44+O45</f>
        <v>220612975</v>
      </c>
      <c r="P42" s="185">
        <f t="shared" ref="P42:P46" si="11">+O42/N42*100</f>
        <v>60.954064712345627</v>
      </c>
      <c r="Q42" s="105"/>
    </row>
    <row r="43" spans="1:17" s="1" customFormat="1" ht="18" customHeight="1" x14ac:dyDescent="0.2">
      <c r="A43" s="17"/>
      <c r="B43" s="460"/>
      <c r="C43" s="19" t="s">
        <v>1</v>
      </c>
      <c r="D43" s="20" t="s">
        <v>10</v>
      </c>
      <c r="E43" s="187">
        <v>53210000</v>
      </c>
      <c r="F43" s="187">
        <v>10000000</v>
      </c>
      <c r="G43" s="167">
        <v>10000000</v>
      </c>
      <c r="H43" s="188">
        <f t="shared" si="10"/>
        <v>100</v>
      </c>
      <c r="I43" s="13"/>
      <c r="J43" s="468"/>
      <c r="K43" s="19" t="s">
        <v>1</v>
      </c>
      <c r="L43" s="20" t="s">
        <v>10</v>
      </c>
      <c r="M43" s="167">
        <v>105477970</v>
      </c>
      <c r="N43" s="168">
        <v>361933164</v>
      </c>
      <c r="O43" s="168">
        <v>220612975</v>
      </c>
      <c r="P43" s="188">
        <f t="shared" si="11"/>
        <v>60.954064712345627</v>
      </c>
      <c r="Q43" s="105"/>
    </row>
    <row r="44" spans="1:17" s="1" customFormat="1" ht="18" customHeight="1" x14ac:dyDescent="0.2">
      <c r="A44" s="17"/>
      <c r="B44" s="460"/>
      <c r="C44" s="19" t="s">
        <v>2</v>
      </c>
      <c r="D44" s="20" t="s">
        <v>12</v>
      </c>
      <c r="E44" s="187">
        <v>0</v>
      </c>
      <c r="F44" s="187">
        <v>0</v>
      </c>
      <c r="G44" s="167">
        <v>0</v>
      </c>
      <c r="H44" s="188">
        <v>0</v>
      </c>
      <c r="I44" s="13"/>
      <c r="J44" s="468"/>
      <c r="K44" s="19" t="s">
        <v>2</v>
      </c>
      <c r="L44" s="20" t="s">
        <v>12</v>
      </c>
      <c r="M44" s="167">
        <v>0</v>
      </c>
      <c r="N44" s="168">
        <v>0</v>
      </c>
      <c r="O44" s="168">
        <v>0</v>
      </c>
      <c r="P44" s="188">
        <v>0</v>
      </c>
      <c r="Q44" s="105"/>
    </row>
    <row r="45" spans="1:17" s="1" customFormat="1" ht="18" customHeight="1" x14ac:dyDescent="0.2">
      <c r="A45" s="17"/>
      <c r="B45" s="461"/>
      <c r="C45" s="19" t="s">
        <v>4</v>
      </c>
      <c r="D45" s="20" t="s">
        <v>11</v>
      </c>
      <c r="E45" s="187">
        <v>0</v>
      </c>
      <c r="F45" s="187">
        <v>0</v>
      </c>
      <c r="G45" s="167">
        <v>0</v>
      </c>
      <c r="H45" s="188">
        <v>0</v>
      </c>
      <c r="I45" s="13"/>
      <c r="J45" s="469"/>
      <c r="K45" s="19" t="s">
        <v>4</v>
      </c>
      <c r="L45" s="20" t="s">
        <v>11</v>
      </c>
      <c r="M45" s="167">
        <v>0</v>
      </c>
      <c r="N45" s="168">
        <v>0</v>
      </c>
      <c r="O45" s="168">
        <v>0</v>
      </c>
      <c r="P45" s="188">
        <v>0</v>
      </c>
      <c r="Q45" s="105"/>
    </row>
    <row r="46" spans="1:17" s="1" customFormat="1" ht="18" customHeight="1" x14ac:dyDescent="0.2">
      <c r="A46" s="17"/>
      <c r="B46" s="459" t="s">
        <v>69</v>
      </c>
      <c r="C46" s="471" t="s">
        <v>24</v>
      </c>
      <c r="D46" s="472"/>
      <c r="E46" s="186">
        <f>E47+E48+E49</f>
        <v>711000</v>
      </c>
      <c r="F46" s="186">
        <f>F47+F48+F49</f>
        <v>3274803</v>
      </c>
      <c r="G46" s="186">
        <f>G47+G48+G49</f>
        <v>3274803</v>
      </c>
      <c r="H46" s="185">
        <f t="shared" si="10"/>
        <v>100</v>
      </c>
      <c r="I46" s="13"/>
      <c r="J46" s="467" t="s">
        <v>56</v>
      </c>
      <c r="K46" s="471" t="s">
        <v>15</v>
      </c>
      <c r="L46" s="472"/>
      <c r="M46" s="166">
        <f>M47+M48+M49</f>
        <v>2422127</v>
      </c>
      <c r="N46" s="166">
        <f>N47+N48+N49</f>
        <v>8040640</v>
      </c>
      <c r="O46" s="166">
        <f>O47+O48+O49</f>
        <v>7448045</v>
      </c>
      <c r="P46" s="185">
        <f t="shared" si="11"/>
        <v>92.630002089385926</v>
      </c>
      <c r="Q46" s="105"/>
    </row>
    <row r="47" spans="1:17" s="1" customFormat="1" ht="18" customHeight="1" x14ac:dyDescent="0.2">
      <c r="A47" s="17"/>
      <c r="B47" s="460"/>
      <c r="C47" s="19" t="s">
        <v>1</v>
      </c>
      <c r="D47" s="20" t="s">
        <v>10</v>
      </c>
      <c r="E47" s="187">
        <v>711000</v>
      </c>
      <c r="F47" s="187">
        <v>3274803</v>
      </c>
      <c r="G47" s="167">
        <v>3274803</v>
      </c>
      <c r="H47" s="188">
        <f t="shared" si="10"/>
        <v>100</v>
      </c>
      <c r="I47" s="13"/>
      <c r="J47" s="468"/>
      <c r="K47" s="19" t="s">
        <v>1</v>
      </c>
      <c r="L47" s="20" t="s">
        <v>10</v>
      </c>
      <c r="M47" s="167">
        <v>2422127</v>
      </c>
      <c r="N47" s="168">
        <v>8040640</v>
      </c>
      <c r="O47" s="168">
        <v>7448045</v>
      </c>
      <c r="P47" s="188">
        <f>+O47/N47*100</f>
        <v>92.630002089385926</v>
      </c>
      <c r="Q47" s="105"/>
    </row>
    <row r="48" spans="1:17" s="1" customFormat="1" ht="18" customHeight="1" x14ac:dyDescent="0.2">
      <c r="A48" s="17"/>
      <c r="B48" s="460"/>
      <c r="C48" s="19" t="s">
        <v>2</v>
      </c>
      <c r="D48" s="20" t="s">
        <v>12</v>
      </c>
      <c r="E48" s="187">
        <v>0</v>
      </c>
      <c r="F48" s="187">
        <v>0</v>
      </c>
      <c r="G48" s="167">
        <v>0</v>
      </c>
      <c r="H48" s="188">
        <v>0</v>
      </c>
      <c r="I48" s="13"/>
      <c r="J48" s="468"/>
      <c r="K48" s="19" t="s">
        <v>2</v>
      </c>
      <c r="L48" s="20" t="s">
        <v>12</v>
      </c>
      <c r="M48" s="167">
        <v>0</v>
      </c>
      <c r="N48" s="168">
        <v>0</v>
      </c>
      <c r="O48" s="168">
        <v>0</v>
      </c>
      <c r="P48" s="188">
        <v>0</v>
      </c>
      <c r="Q48" s="105"/>
    </row>
    <row r="49" spans="1:17" s="1" customFormat="1" ht="18" customHeight="1" x14ac:dyDescent="0.2">
      <c r="A49" s="17"/>
      <c r="B49" s="461"/>
      <c r="C49" s="19" t="s">
        <v>4</v>
      </c>
      <c r="D49" s="20" t="s">
        <v>11</v>
      </c>
      <c r="E49" s="187">
        <v>0</v>
      </c>
      <c r="F49" s="187">
        <v>0</v>
      </c>
      <c r="G49" s="167">
        <v>0</v>
      </c>
      <c r="H49" s="188">
        <v>0</v>
      </c>
      <c r="I49" s="13"/>
      <c r="J49" s="469"/>
      <c r="K49" s="19" t="s">
        <v>4</v>
      </c>
      <c r="L49" s="20" t="s">
        <v>11</v>
      </c>
      <c r="M49" s="167">
        <v>0</v>
      </c>
      <c r="N49" s="168">
        <v>0</v>
      </c>
      <c r="O49" s="168">
        <v>0</v>
      </c>
      <c r="P49" s="188">
        <v>0</v>
      </c>
      <c r="Q49" s="105"/>
    </row>
    <row r="50" spans="1:17" s="1" customFormat="1" ht="18" customHeight="1" x14ac:dyDescent="0.2">
      <c r="A50" s="17"/>
      <c r="B50" s="459" t="s">
        <v>71</v>
      </c>
      <c r="C50" s="462" t="s">
        <v>47</v>
      </c>
      <c r="D50" s="463"/>
      <c r="E50" s="186">
        <f>E51+E52+E53</f>
        <v>0</v>
      </c>
      <c r="F50" s="186">
        <f>F51+F52+F53</f>
        <v>2969250</v>
      </c>
      <c r="G50" s="186">
        <f>G51+G52+G53</f>
        <v>0</v>
      </c>
      <c r="H50" s="185">
        <f t="shared" si="10"/>
        <v>0</v>
      </c>
      <c r="I50" s="13"/>
      <c r="J50" s="467" t="s">
        <v>57</v>
      </c>
      <c r="K50" s="482" t="s">
        <v>58</v>
      </c>
      <c r="L50" s="482"/>
      <c r="M50" s="166">
        <f>M51+M52+M53</f>
        <v>0</v>
      </c>
      <c r="N50" s="166">
        <v>0</v>
      </c>
      <c r="O50" s="166">
        <f>O51+O52+O53</f>
        <v>0</v>
      </c>
      <c r="P50" s="185">
        <v>0</v>
      </c>
      <c r="Q50" s="105"/>
    </row>
    <row r="51" spans="1:17" s="1" customFormat="1" ht="18" customHeight="1" x14ac:dyDescent="0.2">
      <c r="A51" s="17"/>
      <c r="B51" s="460"/>
      <c r="C51" s="19" t="s">
        <v>1</v>
      </c>
      <c r="D51" s="20" t="s">
        <v>10</v>
      </c>
      <c r="E51" s="187">
        <v>0</v>
      </c>
      <c r="F51" s="187">
        <v>2969250</v>
      </c>
      <c r="G51" s="167">
        <v>0</v>
      </c>
      <c r="H51" s="188">
        <f t="shared" si="10"/>
        <v>0</v>
      </c>
      <c r="I51" s="13"/>
      <c r="J51" s="468"/>
      <c r="K51" s="19" t="s">
        <v>1</v>
      </c>
      <c r="L51" s="20" t="s">
        <v>10</v>
      </c>
      <c r="M51" s="167">
        <v>0</v>
      </c>
      <c r="N51" s="167">
        <v>0</v>
      </c>
      <c r="O51" s="167">
        <v>0</v>
      </c>
      <c r="P51" s="188">
        <v>0</v>
      </c>
      <c r="Q51" s="105"/>
    </row>
    <row r="52" spans="1:17" s="1" customFormat="1" ht="18" customHeight="1" x14ac:dyDescent="0.2">
      <c r="A52" s="17"/>
      <c r="B52" s="460"/>
      <c r="C52" s="19" t="s">
        <v>2</v>
      </c>
      <c r="D52" s="20" t="s">
        <v>12</v>
      </c>
      <c r="E52" s="187">
        <v>0</v>
      </c>
      <c r="F52" s="187">
        <v>0</v>
      </c>
      <c r="G52" s="167">
        <v>0</v>
      </c>
      <c r="H52" s="188">
        <v>0</v>
      </c>
      <c r="I52" s="13"/>
      <c r="J52" s="468"/>
      <c r="K52" s="19" t="s">
        <v>2</v>
      </c>
      <c r="L52" s="20" t="s">
        <v>12</v>
      </c>
      <c r="M52" s="167">
        <v>0</v>
      </c>
      <c r="N52" s="167">
        <v>0</v>
      </c>
      <c r="O52" s="167">
        <v>0</v>
      </c>
      <c r="P52" s="188">
        <v>0</v>
      </c>
      <c r="Q52" s="105"/>
    </row>
    <row r="53" spans="1:17" s="1" customFormat="1" ht="18" customHeight="1" x14ac:dyDescent="0.2">
      <c r="A53" s="18"/>
      <c r="B53" s="461"/>
      <c r="C53" s="19" t="s">
        <v>4</v>
      </c>
      <c r="D53" s="20" t="s">
        <v>11</v>
      </c>
      <c r="E53" s="187">
        <v>0</v>
      </c>
      <c r="F53" s="187">
        <v>0</v>
      </c>
      <c r="G53" s="167">
        <v>0</v>
      </c>
      <c r="H53" s="188">
        <v>0</v>
      </c>
      <c r="I53" s="12"/>
      <c r="J53" s="469"/>
      <c r="K53" s="19" t="s">
        <v>4</v>
      </c>
      <c r="L53" s="20" t="s">
        <v>11</v>
      </c>
      <c r="M53" s="167">
        <v>0</v>
      </c>
      <c r="N53" s="167">
        <v>0</v>
      </c>
      <c r="O53" s="167">
        <v>0</v>
      </c>
      <c r="P53" s="188">
        <v>0</v>
      </c>
      <c r="Q53" s="105"/>
    </row>
    <row r="54" spans="1:17" s="1" customFormat="1" ht="18" customHeight="1" x14ac:dyDescent="0.2">
      <c r="A54" s="22" t="s">
        <v>3</v>
      </c>
      <c r="B54" s="476" t="s">
        <v>25</v>
      </c>
      <c r="C54" s="477"/>
      <c r="D54" s="478"/>
      <c r="E54" s="193">
        <f>E55+E56+E57</f>
        <v>53921000</v>
      </c>
      <c r="F54" s="193">
        <f>F55+F56+F57</f>
        <v>16244053</v>
      </c>
      <c r="G54" s="193">
        <f>G55+G56+G57</f>
        <v>13274803</v>
      </c>
      <c r="H54" s="233">
        <f>+G54/F54*100</f>
        <v>81.721002757132098</v>
      </c>
      <c r="I54" s="23" t="s">
        <v>3</v>
      </c>
      <c r="J54" s="476" t="s">
        <v>18</v>
      </c>
      <c r="K54" s="477"/>
      <c r="L54" s="478"/>
      <c r="M54" s="181">
        <f>M55+M56+M57</f>
        <v>107900097</v>
      </c>
      <c r="N54" s="181">
        <f>N55+N56+N57</f>
        <v>369973804</v>
      </c>
      <c r="O54" s="181">
        <f>O55+O56+O57</f>
        <v>228061020</v>
      </c>
      <c r="P54" s="413">
        <f>O54/N54*100</f>
        <v>61.642477800941819</v>
      </c>
      <c r="Q54" s="105"/>
    </row>
    <row r="55" spans="1:17" s="1" customFormat="1" ht="18" customHeight="1" x14ac:dyDescent="0.2">
      <c r="A55" s="24"/>
      <c r="B55" s="514" t="s">
        <v>74</v>
      </c>
      <c r="C55" s="25" t="s">
        <v>1</v>
      </c>
      <c r="D55" s="26" t="s">
        <v>10</v>
      </c>
      <c r="E55" s="191">
        <f t="shared" ref="E55:G57" si="12">E43+E47+E51</f>
        <v>53921000</v>
      </c>
      <c r="F55" s="191">
        <f t="shared" si="12"/>
        <v>16244053</v>
      </c>
      <c r="G55" s="191">
        <f>G43+G47+G51</f>
        <v>13274803</v>
      </c>
      <c r="H55" s="234">
        <f t="shared" ref="H55" si="13">+G55/F55*100</f>
        <v>81.721002757132098</v>
      </c>
      <c r="I55" s="28"/>
      <c r="J55" s="547" t="s">
        <v>59</v>
      </c>
      <c r="K55" s="25" t="s">
        <v>1</v>
      </c>
      <c r="L55" s="26" t="s">
        <v>10</v>
      </c>
      <c r="M55" s="183">
        <f t="shared" ref="M55:P57" si="14">M43+M47+M51</f>
        <v>107900097</v>
      </c>
      <c r="N55" s="183">
        <f t="shared" si="14"/>
        <v>369973804</v>
      </c>
      <c r="O55" s="183">
        <f t="shared" si="14"/>
        <v>228061020</v>
      </c>
      <c r="P55" s="241">
        <f>O55/N55*100</f>
        <v>61.642477800941819</v>
      </c>
      <c r="Q55" s="105"/>
    </row>
    <row r="56" spans="1:17" s="1" customFormat="1" ht="18" customHeight="1" x14ac:dyDescent="0.2">
      <c r="A56" s="24"/>
      <c r="B56" s="515"/>
      <c r="C56" s="25" t="s">
        <v>2</v>
      </c>
      <c r="D56" s="26" t="s">
        <v>12</v>
      </c>
      <c r="E56" s="191">
        <f t="shared" si="12"/>
        <v>0</v>
      </c>
      <c r="F56" s="191">
        <f t="shared" si="12"/>
        <v>0</v>
      </c>
      <c r="G56" s="191">
        <f t="shared" si="12"/>
        <v>0</v>
      </c>
      <c r="H56" s="234">
        <v>0</v>
      </c>
      <c r="I56" s="28"/>
      <c r="J56" s="547"/>
      <c r="K56" s="25" t="s">
        <v>2</v>
      </c>
      <c r="L56" s="26" t="s">
        <v>12</v>
      </c>
      <c r="M56" s="183">
        <f t="shared" si="14"/>
        <v>0</v>
      </c>
      <c r="N56" s="183">
        <f t="shared" si="14"/>
        <v>0</v>
      </c>
      <c r="O56" s="183">
        <f t="shared" si="14"/>
        <v>0</v>
      </c>
      <c r="P56" s="241">
        <f t="shared" si="14"/>
        <v>0</v>
      </c>
      <c r="Q56" s="105"/>
    </row>
    <row r="57" spans="1:17" s="1" customFormat="1" ht="18" customHeight="1" x14ac:dyDescent="0.2">
      <c r="A57" s="24"/>
      <c r="B57" s="515"/>
      <c r="C57" s="30" t="s">
        <v>4</v>
      </c>
      <c r="D57" s="31" t="s">
        <v>11</v>
      </c>
      <c r="E57" s="183">
        <f t="shared" si="12"/>
        <v>0</v>
      </c>
      <c r="F57" s="183">
        <f t="shared" si="12"/>
        <v>0</v>
      </c>
      <c r="G57" s="183">
        <f t="shared" si="12"/>
        <v>0</v>
      </c>
      <c r="H57" s="234">
        <v>0</v>
      </c>
      <c r="I57" s="28"/>
      <c r="J57" s="548"/>
      <c r="K57" s="30" t="s">
        <v>4</v>
      </c>
      <c r="L57" s="31" t="s">
        <v>11</v>
      </c>
      <c r="M57" s="198">
        <f t="shared" si="14"/>
        <v>0</v>
      </c>
      <c r="N57" s="198">
        <f t="shared" si="14"/>
        <v>0</v>
      </c>
      <c r="O57" s="198">
        <f t="shared" si="14"/>
        <v>0</v>
      </c>
      <c r="P57" s="242">
        <f t="shared" si="14"/>
        <v>0</v>
      </c>
      <c r="Q57" s="105"/>
    </row>
    <row r="58" spans="1:17" s="39" customFormat="1" ht="31.5" customHeight="1" thickBot="1" x14ac:dyDescent="0.25">
      <c r="A58" s="505" t="s">
        <v>91</v>
      </c>
      <c r="B58" s="506"/>
      <c r="C58" s="506"/>
      <c r="D58" s="506"/>
      <c r="E58" s="358">
        <f>M54-E54</f>
        <v>53979097</v>
      </c>
      <c r="F58" s="358">
        <f>+N54-F54</f>
        <v>353729751</v>
      </c>
      <c r="G58" s="358">
        <f>O54-G54</f>
        <v>214786217</v>
      </c>
      <c r="H58" s="358"/>
      <c r="I58" s="505" t="s">
        <v>92</v>
      </c>
      <c r="J58" s="506"/>
      <c r="K58" s="506"/>
      <c r="L58" s="506"/>
      <c r="M58" s="354"/>
      <c r="N58" s="367"/>
      <c r="O58" s="356"/>
      <c r="P58" s="360"/>
      <c r="Q58" s="108"/>
    </row>
    <row r="59" spans="1:17" s="1" customFormat="1" ht="18" customHeight="1" x14ac:dyDescent="0.2">
      <c r="A59" s="32" t="s">
        <v>34</v>
      </c>
      <c r="B59" s="537" t="s">
        <v>35</v>
      </c>
      <c r="C59" s="538"/>
      <c r="D59" s="539"/>
      <c r="E59" s="197">
        <f>E60+E61+E62</f>
        <v>525843621</v>
      </c>
      <c r="F59" s="197">
        <f>F60+F61+F62</f>
        <v>1168816634</v>
      </c>
      <c r="G59" s="197">
        <f>G60+G61+G62</f>
        <v>1079957678</v>
      </c>
      <c r="H59" s="235">
        <f>+G59/F59*100</f>
        <v>92.397528113892321</v>
      </c>
      <c r="I59" s="32" t="s">
        <v>34</v>
      </c>
      <c r="J59" s="543" t="s">
        <v>37</v>
      </c>
      <c r="K59" s="544"/>
      <c r="L59" s="544"/>
      <c r="M59" s="197">
        <f>M60+M61+M62</f>
        <v>440957617</v>
      </c>
      <c r="N59" s="197">
        <f>N60+N61+N62</f>
        <v>1630229300</v>
      </c>
      <c r="O59" s="197">
        <f>O60+O61+O62</f>
        <v>903823897</v>
      </c>
      <c r="P59" s="243">
        <f>+O59/N59*100</f>
        <v>55.441519607088395</v>
      </c>
      <c r="Q59" s="105"/>
    </row>
    <row r="60" spans="1:17" s="1" customFormat="1" ht="18" customHeight="1" x14ac:dyDescent="0.2">
      <c r="A60" s="24"/>
      <c r="B60" s="511" t="s">
        <v>76</v>
      </c>
      <c r="C60" s="25" t="s">
        <v>1</v>
      </c>
      <c r="D60" s="26" t="s">
        <v>10</v>
      </c>
      <c r="E60" s="198">
        <f t="shared" ref="E60:G62" si="15">E36+E55</f>
        <v>525843621</v>
      </c>
      <c r="F60" s="198">
        <f>F36+F55</f>
        <v>1168816634</v>
      </c>
      <c r="G60" s="198">
        <f>G36+G55</f>
        <v>1079957678</v>
      </c>
      <c r="H60" s="236">
        <f t="shared" ref="H60" si="16">+G60/F60*100</f>
        <v>92.397528113892321</v>
      </c>
      <c r="I60" s="484"/>
      <c r="J60" s="536" t="s">
        <v>75</v>
      </c>
      <c r="K60" s="25" t="s">
        <v>1</v>
      </c>
      <c r="L60" s="26" t="s">
        <v>10</v>
      </c>
      <c r="M60" s="198">
        <f t="shared" ref="M60:P62" si="17">M36+M55</f>
        <v>430921089</v>
      </c>
      <c r="N60" s="198">
        <f>N36+N55</f>
        <v>1616213789</v>
      </c>
      <c r="O60" s="198">
        <f t="shared" si="17"/>
        <v>895895853</v>
      </c>
      <c r="P60" s="242">
        <f>+O60/N60*100</f>
        <v>55.431766459208198</v>
      </c>
      <c r="Q60" s="105"/>
    </row>
    <row r="61" spans="1:17" s="1" customFormat="1" ht="18" customHeight="1" x14ac:dyDescent="0.2">
      <c r="A61" s="24"/>
      <c r="B61" s="512"/>
      <c r="C61" s="25" t="s">
        <v>2</v>
      </c>
      <c r="D61" s="26" t="s">
        <v>12</v>
      </c>
      <c r="E61" s="198">
        <f t="shared" si="15"/>
        <v>0</v>
      </c>
      <c r="F61" s="198">
        <f t="shared" si="15"/>
        <v>0</v>
      </c>
      <c r="G61" s="198">
        <f>G37+G56</f>
        <v>0</v>
      </c>
      <c r="H61" s="236">
        <v>0</v>
      </c>
      <c r="I61" s="484"/>
      <c r="J61" s="536"/>
      <c r="K61" s="25" t="s">
        <v>2</v>
      </c>
      <c r="L61" s="26" t="s">
        <v>12</v>
      </c>
      <c r="M61" s="198">
        <f t="shared" si="17"/>
        <v>10036528</v>
      </c>
      <c r="N61" s="198">
        <f>N37+N56</f>
        <v>14015511</v>
      </c>
      <c r="O61" s="198">
        <f t="shared" si="17"/>
        <v>7928044</v>
      </c>
      <c r="P61" s="242">
        <f>+O61/N61*100</f>
        <v>56.566214389186378</v>
      </c>
      <c r="Q61" s="105"/>
    </row>
    <row r="62" spans="1:17" s="1" customFormat="1" ht="18" customHeight="1" x14ac:dyDescent="0.2">
      <c r="A62" s="27"/>
      <c r="B62" s="513"/>
      <c r="C62" s="25" t="s">
        <v>4</v>
      </c>
      <c r="D62" s="26" t="s">
        <v>11</v>
      </c>
      <c r="E62" s="183">
        <f t="shared" si="15"/>
        <v>0</v>
      </c>
      <c r="F62" s="183">
        <f t="shared" si="15"/>
        <v>0</v>
      </c>
      <c r="G62" s="198">
        <f t="shared" si="15"/>
        <v>0</v>
      </c>
      <c r="H62" s="236">
        <v>0</v>
      </c>
      <c r="I62" s="485"/>
      <c r="J62" s="536"/>
      <c r="K62" s="25" t="s">
        <v>4</v>
      </c>
      <c r="L62" s="26" t="s">
        <v>11</v>
      </c>
      <c r="M62" s="183">
        <f t="shared" si="17"/>
        <v>0</v>
      </c>
      <c r="N62" s="183">
        <f>N38+N57</f>
        <v>0</v>
      </c>
      <c r="O62" s="183">
        <f t="shared" si="17"/>
        <v>0</v>
      </c>
      <c r="P62" s="241">
        <f t="shared" si="17"/>
        <v>0</v>
      </c>
      <c r="Q62" s="105"/>
    </row>
    <row r="63" spans="1:17" s="9" customFormat="1" ht="30" customHeight="1" thickBot="1" x14ac:dyDescent="0.25">
      <c r="A63" s="540" t="s">
        <v>63</v>
      </c>
      <c r="B63" s="541"/>
      <c r="C63" s="541"/>
      <c r="D63" s="542"/>
      <c r="E63" s="362"/>
      <c r="F63" s="368">
        <f>N59-F59</f>
        <v>461412666</v>
      </c>
      <c r="G63" s="363"/>
      <c r="H63" s="369"/>
      <c r="I63" s="540" t="s">
        <v>64</v>
      </c>
      <c r="J63" s="541"/>
      <c r="K63" s="541"/>
      <c r="L63" s="542"/>
      <c r="M63" s="362">
        <f>E59-M59</f>
        <v>84886004</v>
      </c>
      <c r="N63" s="362"/>
      <c r="O63" s="370">
        <f>G59-O59</f>
        <v>176133781</v>
      </c>
      <c r="P63" s="371"/>
      <c r="Q63" s="106"/>
    </row>
    <row r="64" spans="1:17" s="1" customFormat="1" ht="18" customHeight="1" x14ac:dyDescent="0.2">
      <c r="A64" s="58" t="s">
        <v>38</v>
      </c>
      <c r="B64" s="507" t="s">
        <v>36</v>
      </c>
      <c r="C64" s="508"/>
      <c r="D64" s="509"/>
      <c r="E64" s="199">
        <f>E65+E66</f>
        <v>1067824029</v>
      </c>
      <c r="F64" s="199">
        <f>F65+F66</f>
        <v>894884225</v>
      </c>
      <c r="G64" s="199">
        <f>G65+G66</f>
        <v>894884225</v>
      </c>
      <c r="H64" s="204">
        <f>+G64/F64*100</f>
        <v>100</v>
      </c>
      <c r="I64" s="59" t="s">
        <v>38</v>
      </c>
      <c r="J64" s="464" t="s">
        <v>48</v>
      </c>
      <c r="K64" s="465"/>
      <c r="L64" s="466"/>
      <c r="M64" s="244">
        <f>M65+M66</f>
        <v>270269808</v>
      </c>
      <c r="N64" s="244">
        <f>N65+N66</f>
        <v>433471559</v>
      </c>
      <c r="O64" s="244">
        <f>O65+O66</f>
        <v>318279385</v>
      </c>
      <c r="P64" s="245">
        <f>+O64/N64*100</f>
        <v>73.425667357336351</v>
      </c>
      <c r="Q64" s="105"/>
    </row>
    <row r="65" spans="1:17" s="1" customFormat="1" ht="18" customHeight="1" x14ac:dyDescent="0.2">
      <c r="A65" s="29"/>
      <c r="B65" s="534" t="s">
        <v>65</v>
      </c>
      <c r="C65" s="19" t="s">
        <v>1</v>
      </c>
      <c r="D65" s="20" t="s">
        <v>77</v>
      </c>
      <c r="E65" s="167">
        <v>1055380029</v>
      </c>
      <c r="F65" s="168">
        <v>882440225</v>
      </c>
      <c r="G65" s="168">
        <v>882440225</v>
      </c>
      <c r="H65" s="170">
        <f t="shared" ref="H65:H68" si="18">+G65/F65*100</f>
        <v>100</v>
      </c>
      <c r="I65" s="60"/>
      <c r="J65" s="534" t="s">
        <v>60</v>
      </c>
      <c r="K65" s="19" t="s">
        <v>1</v>
      </c>
      <c r="L65" s="20" t="s">
        <v>80</v>
      </c>
      <c r="M65" s="167">
        <v>257825808</v>
      </c>
      <c r="N65" s="168">
        <v>408583559</v>
      </c>
      <c r="O65" s="169">
        <v>305835385</v>
      </c>
      <c r="P65" s="246">
        <f t="shared" ref="P65:P66" si="19">+O65/N65*100</f>
        <v>74.852592147497546</v>
      </c>
      <c r="Q65" s="105"/>
    </row>
    <row r="66" spans="1:17" s="1" customFormat="1" ht="18" customHeight="1" x14ac:dyDescent="0.2">
      <c r="A66" s="29"/>
      <c r="B66" s="535"/>
      <c r="C66" s="19" t="s">
        <v>2</v>
      </c>
      <c r="D66" s="20" t="s">
        <v>78</v>
      </c>
      <c r="E66" s="167">
        <v>12444000</v>
      </c>
      <c r="F66" s="168">
        <v>12444000</v>
      </c>
      <c r="G66" s="168">
        <v>12444000</v>
      </c>
      <c r="H66" s="170">
        <f>G66/F66*100</f>
        <v>100</v>
      </c>
      <c r="I66" s="60"/>
      <c r="J66" s="535"/>
      <c r="K66" s="19" t="s">
        <v>2</v>
      </c>
      <c r="L66" s="34" t="s">
        <v>79</v>
      </c>
      <c r="M66" s="167">
        <v>12444000</v>
      </c>
      <c r="N66" s="168">
        <v>24888000</v>
      </c>
      <c r="O66" s="168">
        <v>12444000</v>
      </c>
      <c r="P66" s="246">
        <f t="shared" si="19"/>
        <v>50</v>
      </c>
      <c r="Q66" s="105"/>
    </row>
    <row r="67" spans="1:17" s="7" customFormat="1" ht="18" customHeight="1" x14ac:dyDescent="0.2">
      <c r="A67" s="377" t="s">
        <v>39</v>
      </c>
      <c r="B67" s="519" t="s">
        <v>28</v>
      </c>
      <c r="C67" s="520"/>
      <c r="D67" s="521"/>
      <c r="E67" s="378">
        <f>E68+E69+E70</f>
        <v>1593667650</v>
      </c>
      <c r="F67" s="378">
        <f>F68+F69+F70</f>
        <v>2063700859</v>
      </c>
      <c r="G67" s="378">
        <f>G68+G69+G70</f>
        <v>1974841903</v>
      </c>
      <c r="H67" s="379">
        <f t="shared" si="18"/>
        <v>95.694193971356</v>
      </c>
      <c r="I67" s="398" t="s">
        <v>39</v>
      </c>
      <c r="J67" s="519" t="s">
        <v>29</v>
      </c>
      <c r="K67" s="520"/>
      <c r="L67" s="521"/>
      <c r="M67" s="378">
        <f>M68+M69+M70</f>
        <v>711227425</v>
      </c>
      <c r="N67" s="378">
        <f>N68+N69+N70</f>
        <v>2063700859</v>
      </c>
      <c r="O67" s="378">
        <f>O68+O69+O70</f>
        <v>1222103282</v>
      </c>
      <c r="P67" s="381">
        <f>+O67/N67*100</f>
        <v>59.219013098254472</v>
      </c>
      <c r="Q67" s="106"/>
    </row>
    <row r="68" spans="1:17" s="7" customFormat="1" ht="18" customHeight="1" x14ac:dyDescent="0.2">
      <c r="A68" s="382"/>
      <c r="B68" s="516" t="s">
        <v>62</v>
      </c>
      <c r="C68" s="383" t="s">
        <v>1</v>
      </c>
      <c r="D68" s="384" t="s">
        <v>10</v>
      </c>
      <c r="E68" s="385">
        <f>E60+E65+E66</f>
        <v>1593667650</v>
      </c>
      <c r="F68" s="385">
        <f>F60+F65+F66</f>
        <v>2063700859</v>
      </c>
      <c r="G68" s="385">
        <f>G60+G65+G66</f>
        <v>1974841903</v>
      </c>
      <c r="H68" s="386">
        <f t="shared" si="18"/>
        <v>95.694193971356</v>
      </c>
      <c r="I68" s="399"/>
      <c r="J68" s="516" t="s">
        <v>61</v>
      </c>
      <c r="K68" s="383" t="s">
        <v>1</v>
      </c>
      <c r="L68" s="384" t="s">
        <v>10</v>
      </c>
      <c r="M68" s="385">
        <f>M60+M65+M66</f>
        <v>701190897</v>
      </c>
      <c r="N68" s="385">
        <f>N60+N65+N66</f>
        <v>2049685348</v>
      </c>
      <c r="O68" s="385">
        <f>O60+O65+O66</f>
        <v>1214175238</v>
      </c>
      <c r="P68" s="389">
        <f t="shared" ref="P68:P69" si="20">+O68/N68*100</f>
        <v>59.23715262856043</v>
      </c>
      <c r="Q68" s="106"/>
    </row>
    <row r="69" spans="1:17" s="7" customFormat="1" ht="18" customHeight="1" x14ac:dyDescent="0.2">
      <c r="A69" s="382"/>
      <c r="B69" s="517"/>
      <c r="C69" s="383" t="s">
        <v>2</v>
      </c>
      <c r="D69" s="384" t="s">
        <v>12</v>
      </c>
      <c r="E69" s="385">
        <f>E61</f>
        <v>0</v>
      </c>
      <c r="F69" s="385">
        <f>F61</f>
        <v>0</v>
      </c>
      <c r="G69" s="385">
        <f>G61</f>
        <v>0</v>
      </c>
      <c r="H69" s="386">
        <v>0</v>
      </c>
      <c r="I69" s="399"/>
      <c r="J69" s="517"/>
      <c r="K69" s="383" t="s">
        <v>2</v>
      </c>
      <c r="L69" s="384" t="s">
        <v>12</v>
      </c>
      <c r="M69" s="385">
        <f t="shared" ref="M69:O70" si="21">M61</f>
        <v>10036528</v>
      </c>
      <c r="N69" s="385">
        <f t="shared" si="21"/>
        <v>14015511</v>
      </c>
      <c r="O69" s="385">
        <f t="shared" si="21"/>
        <v>7928044</v>
      </c>
      <c r="P69" s="389">
        <f t="shared" si="20"/>
        <v>56.566214389186378</v>
      </c>
      <c r="Q69" s="106"/>
    </row>
    <row r="70" spans="1:17" s="7" customFormat="1" ht="18" customHeight="1" thickBot="1" x14ac:dyDescent="0.25">
      <c r="A70" s="390"/>
      <c r="B70" s="518"/>
      <c r="C70" s="391" t="s">
        <v>4</v>
      </c>
      <c r="D70" s="392" t="s">
        <v>11</v>
      </c>
      <c r="E70" s="393">
        <f t="shared" ref="E70:G70" si="22">E62</f>
        <v>0</v>
      </c>
      <c r="F70" s="393">
        <f t="shared" si="22"/>
        <v>0</v>
      </c>
      <c r="G70" s="393">
        <f t="shared" si="22"/>
        <v>0</v>
      </c>
      <c r="H70" s="400">
        <v>0</v>
      </c>
      <c r="I70" s="401"/>
      <c r="J70" s="518"/>
      <c r="K70" s="391" t="s">
        <v>4</v>
      </c>
      <c r="L70" s="392" t="s">
        <v>11</v>
      </c>
      <c r="M70" s="393">
        <f t="shared" si="21"/>
        <v>0</v>
      </c>
      <c r="N70" s="393">
        <f t="shared" si="21"/>
        <v>0</v>
      </c>
      <c r="O70" s="393">
        <f t="shared" si="21"/>
        <v>0</v>
      </c>
      <c r="P70" s="397">
        <v>0</v>
      </c>
      <c r="Q70" s="106"/>
    </row>
    <row r="72" spans="1:17" x14ac:dyDescent="0.25">
      <c r="F72" s="102"/>
      <c r="N72" s="102"/>
    </row>
    <row r="73" spans="1:17" x14ac:dyDescent="0.25">
      <c r="A73" s="501"/>
      <c r="B73" s="501"/>
      <c r="C73" s="501"/>
      <c r="D73" s="501"/>
      <c r="E73" s="501"/>
      <c r="F73" s="103"/>
      <c r="G73" s="15"/>
      <c r="H73" s="15"/>
      <c r="N73" s="102"/>
      <c r="O73" s="15"/>
      <c r="P73" s="15"/>
    </row>
    <row r="74" spans="1:17" x14ac:dyDescent="0.25">
      <c r="F74" s="102"/>
      <c r="N74" s="102"/>
    </row>
    <row r="75" spans="1:17" x14ac:dyDescent="0.25">
      <c r="F75" s="102"/>
      <c r="N75" s="102"/>
    </row>
  </sheetData>
  <sheetProtection formatCells="0"/>
  <mergeCells count="78">
    <mergeCell ref="L1:P1"/>
    <mergeCell ref="D8:L8"/>
    <mergeCell ref="A9:H9"/>
    <mergeCell ref="I9:P9"/>
    <mergeCell ref="C10:D10"/>
    <mergeCell ref="K10:L10"/>
    <mergeCell ref="L2:P2"/>
    <mergeCell ref="A11:P11"/>
    <mergeCell ref="B12:D12"/>
    <mergeCell ref="J12:L12"/>
    <mergeCell ref="B13:B16"/>
    <mergeCell ref="C13:D13"/>
    <mergeCell ref="J13:J16"/>
    <mergeCell ref="K13:L13"/>
    <mergeCell ref="B17:B20"/>
    <mergeCell ref="C17:D17"/>
    <mergeCell ref="J17:J20"/>
    <mergeCell ref="K17:L17"/>
    <mergeCell ref="B21:B24"/>
    <mergeCell ref="C21:D21"/>
    <mergeCell ref="J21:J24"/>
    <mergeCell ref="K21:L21"/>
    <mergeCell ref="A39:D39"/>
    <mergeCell ref="I39:L39"/>
    <mergeCell ref="B25:B28"/>
    <mergeCell ref="C25:D25"/>
    <mergeCell ref="J25:J28"/>
    <mergeCell ref="K25:L25"/>
    <mergeCell ref="A29:H34"/>
    <mergeCell ref="J29:J34"/>
    <mergeCell ref="K29:L29"/>
    <mergeCell ref="B35:D35"/>
    <mergeCell ref="J35:L35"/>
    <mergeCell ref="B36:B38"/>
    <mergeCell ref="I36:I38"/>
    <mergeCell ref="J36:J38"/>
    <mergeCell ref="A40:P40"/>
    <mergeCell ref="B41:D41"/>
    <mergeCell ref="J41:L41"/>
    <mergeCell ref="B42:B45"/>
    <mergeCell ref="C42:D42"/>
    <mergeCell ref="J42:J45"/>
    <mergeCell ref="K42:L42"/>
    <mergeCell ref="B46:B49"/>
    <mergeCell ref="C46:D46"/>
    <mergeCell ref="J46:J49"/>
    <mergeCell ref="K46:L46"/>
    <mergeCell ref="B50:B53"/>
    <mergeCell ref="C50:D50"/>
    <mergeCell ref="J50:J53"/>
    <mergeCell ref="K50:L50"/>
    <mergeCell ref="B54:D54"/>
    <mergeCell ref="J54:L54"/>
    <mergeCell ref="B55:B57"/>
    <mergeCell ref="J55:J57"/>
    <mergeCell ref="A58:D58"/>
    <mergeCell ref="I58:L58"/>
    <mergeCell ref="B60:B62"/>
    <mergeCell ref="I60:I62"/>
    <mergeCell ref="J60:J62"/>
    <mergeCell ref="A63:D63"/>
    <mergeCell ref="I63:L63"/>
    <mergeCell ref="B68:B70"/>
    <mergeCell ref="J68:J70"/>
    <mergeCell ref="A73:E73"/>
    <mergeCell ref="A3:P3"/>
    <mergeCell ref="A4:P4"/>
    <mergeCell ref="A5:P5"/>
    <mergeCell ref="A6:P6"/>
    <mergeCell ref="A7:P7"/>
    <mergeCell ref="B64:D64"/>
    <mergeCell ref="J64:L64"/>
    <mergeCell ref="B65:B66"/>
    <mergeCell ref="J65:J66"/>
    <mergeCell ref="B67:D67"/>
    <mergeCell ref="J67:L67"/>
    <mergeCell ref="B59:D59"/>
    <mergeCell ref="J59:L59"/>
  </mergeCells>
  <printOptions horizontalCentered="1"/>
  <pageMargins left="0.19685039370078741" right="0.19685039370078741" top="3.937007874015748E-2" bottom="0" header="0.43307086614173229" footer="0.51181102362204722"/>
  <pageSetup paperSize="9" scale="71" orientation="landscape" r:id="rId1"/>
  <headerFooter alignWithMargins="0"/>
  <rowBreaks count="1" manualBreakCount="1">
    <brk id="39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59999389629810485"/>
  </sheetPr>
  <dimension ref="A1:Q71"/>
  <sheetViews>
    <sheetView zoomScaleNormal="100" workbookViewId="0">
      <selection activeCell="U14" sqref="U14"/>
    </sheetView>
  </sheetViews>
  <sheetFormatPr defaultRowHeight="15.75" x14ac:dyDescent="0.25"/>
  <cols>
    <col min="1" max="1" width="5.5703125" style="15" customWidth="1"/>
    <col min="2" max="2" width="4.28515625" style="15" customWidth="1"/>
    <col min="3" max="3" width="3.7109375" style="3" customWidth="1"/>
    <col min="4" max="4" width="37.7109375" style="3" customWidth="1"/>
    <col min="5" max="7" width="13.7109375" style="5" customWidth="1"/>
    <col min="8" max="8" width="7.7109375" style="5" customWidth="1"/>
    <col min="9" max="9" width="6.5703125" style="11" customWidth="1"/>
    <col min="10" max="10" width="4.28515625" style="11" customWidth="1"/>
    <col min="11" max="11" width="3.7109375" style="11" customWidth="1"/>
    <col min="12" max="12" width="37.7109375" style="3" customWidth="1"/>
    <col min="13" max="15" width="13.7109375" style="5" customWidth="1"/>
    <col min="16" max="16" width="7.7109375" style="62" customWidth="1"/>
    <col min="17" max="17" width="9.140625" style="8"/>
    <col min="18" max="16384" width="9.140625" style="3"/>
  </cols>
  <sheetData>
    <row r="1" spans="1:17" x14ac:dyDescent="0.25">
      <c r="L1" s="458" t="s">
        <v>318</v>
      </c>
      <c r="M1" s="458"/>
      <c r="N1" s="458"/>
      <c r="O1" s="458"/>
      <c r="P1" s="458"/>
    </row>
    <row r="2" spans="1:17" x14ac:dyDescent="0.25">
      <c r="L2" s="458"/>
      <c r="M2" s="458"/>
      <c r="N2" s="458"/>
      <c r="O2" s="458"/>
      <c r="P2" s="458"/>
    </row>
    <row r="3" spans="1:17" ht="15.95" customHeight="1" x14ac:dyDescent="0.25">
      <c r="A3" s="470" t="s">
        <v>358</v>
      </c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470"/>
      <c r="Q3" s="8" t="s">
        <v>33</v>
      </c>
    </row>
    <row r="4" spans="1:17" ht="15.95" customHeight="1" x14ac:dyDescent="0.25">
      <c r="A4" s="470" t="s">
        <v>26</v>
      </c>
      <c r="B4" s="470"/>
      <c r="C4" s="470"/>
      <c r="D4" s="470"/>
      <c r="E4" s="470"/>
      <c r="F4" s="470"/>
      <c r="G4" s="470"/>
      <c r="H4" s="470"/>
      <c r="I4" s="470"/>
      <c r="J4" s="470"/>
      <c r="K4" s="470"/>
      <c r="L4" s="470"/>
      <c r="M4" s="470"/>
      <c r="N4" s="470"/>
      <c r="O4" s="470"/>
      <c r="P4" s="470"/>
    </row>
    <row r="5" spans="1:17" ht="15.95" customHeight="1" x14ac:dyDescent="0.25">
      <c r="A5" s="470" t="s">
        <v>44</v>
      </c>
      <c r="B5" s="470"/>
      <c r="C5" s="470"/>
      <c r="D5" s="470"/>
      <c r="E5" s="470"/>
      <c r="F5" s="470"/>
      <c r="G5" s="470"/>
      <c r="H5" s="470"/>
      <c r="I5" s="470"/>
      <c r="J5" s="470"/>
      <c r="K5" s="470"/>
      <c r="L5" s="470"/>
      <c r="M5" s="470"/>
      <c r="N5" s="470"/>
      <c r="O5" s="470"/>
      <c r="P5" s="470"/>
    </row>
    <row r="6" spans="1:17" ht="15.95" customHeight="1" x14ac:dyDescent="0.25">
      <c r="A6" s="470" t="s">
        <v>287</v>
      </c>
      <c r="B6" s="470"/>
      <c r="C6" s="470"/>
      <c r="D6" s="470"/>
      <c r="E6" s="470"/>
      <c r="F6" s="470"/>
      <c r="G6" s="470"/>
      <c r="H6" s="470"/>
      <c r="I6" s="470"/>
      <c r="J6" s="470"/>
      <c r="K6" s="470"/>
      <c r="L6" s="470"/>
      <c r="M6" s="470"/>
      <c r="N6" s="470"/>
      <c r="O6" s="470"/>
      <c r="P6" s="470"/>
    </row>
    <row r="7" spans="1:17" ht="15.95" customHeight="1" x14ac:dyDescent="0.25">
      <c r="A7" s="470"/>
      <c r="B7" s="470"/>
      <c r="C7" s="470"/>
      <c r="D7" s="470"/>
      <c r="E7" s="470"/>
      <c r="F7" s="470"/>
      <c r="G7" s="470"/>
      <c r="H7" s="470"/>
      <c r="I7" s="470"/>
      <c r="J7" s="470"/>
      <c r="K7" s="470"/>
      <c r="L7" s="470"/>
      <c r="M7" s="470"/>
      <c r="N7" s="470"/>
      <c r="O7" s="470"/>
      <c r="P7" s="470"/>
    </row>
    <row r="8" spans="1:17" ht="15.95" customHeight="1" thickBot="1" x14ac:dyDescent="0.35">
      <c r="D8" s="533"/>
      <c r="E8" s="533"/>
      <c r="F8" s="533"/>
      <c r="G8" s="533"/>
      <c r="H8" s="533"/>
      <c r="I8" s="533"/>
      <c r="J8" s="533"/>
      <c r="K8" s="533"/>
      <c r="L8" s="533"/>
      <c r="O8" s="3"/>
      <c r="P8" s="208" t="s">
        <v>252</v>
      </c>
    </row>
    <row r="9" spans="1:17" s="6" customFormat="1" ht="21.95" customHeight="1" x14ac:dyDescent="0.2">
      <c r="A9" s="530" t="s">
        <v>42</v>
      </c>
      <c r="B9" s="531"/>
      <c r="C9" s="531"/>
      <c r="D9" s="531"/>
      <c r="E9" s="531"/>
      <c r="F9" s="531"/>
      <c r="G9" s="531"/>
      <c r="H9" s="532"/>
      <c r="I9" s="530" t="s">
        <v>43</v>
      </c>
      <c r="J9" s="531"/>
      <c r="K9" s="531"/>
      <c r="L9" s="531"/>
      <c r="M9" s="531"/>
      <c r="N9" s="531"/>
      <c r="O9" s="531"/>
      <c r="P9" s="532"/>
      <c r="Q9" s="104"/>
    </row>
    <row r="10" spans="1:17" s="6" customFormat="1" ht="59.25" customHeight="1" thickBot="1" x14ac:dyDescent="0.25">
      <c r="A10" s="350" t="s">
        <v>83</v>
      </c>
      <c r="B10" s="351" t="s">
        <v>84</v>
      </c>
      <c r="C10" s="522"/>
      <c r="D10" s="523"/>
      <c r="E10" s="349" t="s">
        <v>251</v>
      </c>
      <c r="F10" s="352" t="s">
        <v>289</v>
      </c>
      <c r="G10" s="349" t="s">
        <v>290</v>
      </c>
      <c r="H10" s="353" t="s">
        <v>257</v>
      </c>
      <c r="I10" s="350" t="s">
        <v>83</v>
      </c>
      <c r="J10" s="351" t="s">
        <v>84</v>
      </c>
      <c r="K10" s="524"/>
      <c r="L10" s="525"/>
      <c r="M10" s="349" t="s">
        <v>251</v>
      </c>
      <c r="N10" s="352" t="s">
        <v>289</v>
      </c>
      <c r="O10" s="349" t="s">
        <v>290</v>
      </c>
      <c r="P10" s="353" t="s">
        <v>257</v>
      </c>
      <c r="Q10" s="104"/>
    </row>
    <row r="11" spans="1:17" s="1" customFormat="1" ht="18" customHeight="1" x14ac:dyDescent="0.2">
      <c r="A11" s="527" t="s">
        <v>41</v>
      </c>
      <c r="B11" s="528"/>
      <c r="C11" s="528"/>
      <c r="D11" s="528"/>
      <c r="E11" s="528"/>
      <c r="F11" s="528"/>
      <c r="G11" s="528"/>
      <c r="H11" s="528"/>
      <c r="I11" s="528"/>
      <c r="J11" s="528"/>
      <c r="K11" s="528"/>
      <c r="L11" s="528"/>
      <c r="M11" s="528"/>
      <c r="N11" s="528"/>
      <c r="O11" s="528"/>
      <c r="P11" s="529"/>
      <c r="Q11" s="105"/>
    </row>
    <row r="12" spans="1:17" s="2" customFormat="1" ht="18" customHeight="1" x14ac:dyDescent="0.2">
      <c r="A12" s="37" t="s">
        <v>0</v>
      </c>
      <c r="B12" s="464" t="s">
        <v>40</v>
      </c>
      <c r="C12" s="465"/>
      <c r="D12" s="466"/>
      <c r="E12" s="166">
        <f>E13+E17+E21+E25</f>
        <v>2979692</v>
      </c>
      <c r="F12" s="166">
        <f>F13+F17+F21+F25</f>
        <v>62935731</v>
      </c>
      <c r="G12" s="164">
        <f>G13+G17+G21+G25</f>
        <v>29040393</v>
      </c>
      <c r="H12" s="185">
        <f>+G12/F12*100</f>
        <v>46.142934289585035</v>
      </c>
      <c r="I12" s="38" t="s">
        <v>0</v>
      </c>
      <c r="J12" s="498" t="s">
        <v>20</v>
      </c>
      <c r="K12" s="499"/>
      <c r="L12" s="500"/>
      <c r="M12" s="163">
        <f>M13+M17+M21+M25+M29</f>
        <v>240477888</v>
      </c>
      <c r="N12" s="163">
        <f>N13+N17+N21+N25+N29</f>
        <v>486934367</v>
      </c>
      <c r="O12" s="164">
        <f>O13+O17+O21+O29+O25</f>
        <v>331440320</v>
      </c>
      <c r="P12" s="165">
        <f>+O12/N12*100</f>
        <v>68.066733930078101</v>
      </c>
      <c r="Q12" s="106"/>
    </row>
    <row r="13" spans="1:17" s="1" customFormat="1" ht="18" customHeight="1" x14ac:dyDescent="0.2">
      <c r="A13" s="17"/>
      <c r="B13" s="459" t="s">
        <v>54</v>
      </c>
      <c r="C13" s="473" t="s">
        <v>259</v>
      </c>
      <c r="D13" s="474"/>
      <c r="E13" s="186">
        <f>E14+E15+E16</f>
        <v>1202664</v>
      </c>
      <c r="F13" s="186">
        <f>F14+F15+F16</f>
        <v>62441213</v>
      </c>
      <c r="G13" s="166">
        <f>G14+G15+G16</f>
        <v>28541213</v>
      </c>
      <c r="H13" s="185">
        <f t="shared" ref="H13:H22" si="0">+G13/F13*100</f>
        <v>45.708934257891499</v>
      </c>
      <c r="I13" s="13"/>
      <c r="J13" s="467" t="s">
        <v>49</v>
      </c>
      <c r="K13" s="475" t="s">
        <v>16</v>
      </c>
      <c r="L13" s="475"/>
      <c r="M13" s="166">
        <f>M14+M15+M16</f>
        <v>181695597</v>
      </c>
      <c r="N13" s="166">
        <f>N14+N15+N16</f>
        <v>367822893</v>
      </c>
      <c r="O13" s="164">
        <f>O14+O15+O16</f>
        <v>254107496</v>
      </c>
      <c r="P13" s="165">
        <f t="shared" ref="P13:P34" si="1">+O13/N13*100</f>
        <v>69.08419808442973</v>
      </c>
      <c r="Q13" s="105"/>
    </row>
    <row r="14" spans="1:17" s="1" customFormat="1" ht="18" customHeight="1" x14ac:dyDescent="0.2">
      <c r="A14" s="17"/>
      <c r="B14" s="460"/>
      <c r="C14" s="19" t="s">
        <v>1</v>
      </c>
      <c r="D14" s="20" t="s">
        <v>10</v>
      </c>
      <c r="E14" s="187">
        <v>1202664</v>
      </c>
      <c r="F14" s="187">
        <v>62441213</v>
      </c>
      <c r="G14" s="167">
        <v>28541213</v>
      </c>
      <c r="H14" s="188">
        <f t="shared" si="0"/>
        <v>45.708934257891499</v>
      </c>
      <c r="I14" s="13"/>
      <c r="J14" s="468"/>
      <c r="K14" s="19" t="s">
        <v>1</v>
      </c>
      <c r="L14" s="20" t="s">
        <v>10</v>
      </c>
      <c r="M14" s="167">
        <v>181695597</v>
      </c>
      <c r="N14" s="168">
        <v>367822893</v>
      </c>
      <c r="O14" s="169">
        <v>254107496</v>
      </c>
      <c r="P14" s="170">
        <f t="shared" si="1"/>
        <v>69.08419808442973</v>
      </c>
      <c r="Q14" s="105"/>
    </row>
    <row r="15" spans="1:17" s="1" customFormat="1" ht="18" customHeight="1" x14ac:dyDescent="0.2">
      <c r="A15" s="17"/>
      <c r="B15" s="460"/>
      <c r="C15" s="19" t="s">
        <v>2</v>
      </c>
      <c r="D15" s="20" t="s">
        <v>12</v>
      </c>
      <c r="E15" s="187">
        <v>0</v>
      </c>
      <c r="F15" s="187">
        <v>0</v>
      </c>
      <c r="G15" s="167">
        <v>0</v>
      </c>
      <c r="H15" s="188">
        <v>0</v>
      </c>
      <c r="I15" s="13"/>
      <c r="J15" s="468"/>
      <c r="K15" s="19" t="s">
        <v>2</v>
      </c>
      <c r="L15" s="20" t="s">
        <v>12</v>
      </c>
      <c r="M15" s="167">
        <v>0</v>
      </c>
      <c r="N15" s="168">
        <v>0</v>
      </c>
      <c r="O15" s="169">
        <v>0</v>
      </c>
      <c r="P15" s="170">
        <v>0</v>
      </c>
      <c r="Q15" s="105"/>
    </row>
    <row r="16" spans="1:17" s="1" customFormat="1" ht="18" customHeight="1" x14ac:dyDescent="0.2">
      <c r="A16" s="17"/>
      <c r="B16" s="461"/>
      <c r="C16" s="19" t="s">
        <v>4</v>
      </c>
      <c r="D16" s="20" t="s">
        <v>11</v>
      </c>
      <c r="E16" s="231">
        <v>0</v>
      </c>
      <c r="F16" s="231">
        <v>0</v>
      </c>
      <c r="G16" s="229">
        <v>0</v>
      </c>
      <c r="H16" s="188">
        <v>0</v>
      </c>
      <c r="I16" s="13"/>
      <c r="J16" s="469"/>
      <c r="K16" s="19" t="s">
        <v>4</v>
      </c>
      <c r="L16" s="20" t="s">
        <v>11</v>
      </c>
      <c r="M16" s="167">
        <v>0</v>
      </c>
      <c r="N16" s="168">
        <v>0</v>
      </c>
      <c r="O16" s="169">
        <v>0</v>
      </c>
      <c r="P16" s="170">
        <v>0</v>
      </c>
      <c r="Q16" s="105"/>
    </row>
    <row r="17" spans="1:17" s="1" customFormat="1" ht="18" customHeight="1" x14ac:dyDescent="0.2">
      <c r="A17" s="17"/>
      <c r="B17" s="459" t="s">
        <v>67</v>
      </c>
      <c r="C17" s="471" t="s">
        <v>6</v>
      </c>
      <c r="D17" s="472"/>
      <c r="E17" s="232">
        <f>E18+E19+E20</f>
        <v>51000</v>
      </c>
      <c r="F17" s="232">
        <f>F18+F19+F20</f>
        <v>135000</v>
      </c>
      <c r="G17" s="230">
        <f>G18+G19+G20</f>
        <v>135000</v>
      </c>
      <c r="H17" s="185">
        <f t="shared" si="0"/>
        <v>100</v>
      </c>
      <c r="I17" s="13"/>
      <c r="J17" s="467" t="s">
        <v>50</v>
      </c>
      <c r="K17" s="526" t="s">
        <v>19</v>
      </c>
      <c r="L17" s="526"/>
      <c r="M17" s="230">
        <f>M18+M19+M20</f>
        <v>29797165</v>
      </c>
      <c r="N17" s="230">
        <f>N18+N19+N20</f>
        <v>56155990</v>
      </c>
      <c r="O17" s="228">
        <f>O18+O19+O20</f>
        <v>38447102</v>
      </c>
      <c r="P17" s="165">
        <f t="shared" si="1"/>
        <v>68.464828061975226</v>
      </c>
      <c r="Q17" s="105"/>
    </row>
    <row r="18" spans="1:17" s="1" customFormat="1" ht="18" customHeight="1" x14ac:dyDescent="0.2">
      <c r="A18" s="17"/>
      <c r="B18" s="460"/>
      <c r="C18" s="19" t="s">
        <v>1</v>
      </c>
      <c r="D18" s="20" t="s">
        <v>10</v>
      </c>
      <c r="E18" s="231">
        <v>0</v>
      </c>
      <c r="F18" s="231">
        <v>0</v>
      </c>
      <c r="G18" s="229">
        <v>0</v>
      </c>
      <c r="H18" s="188">
        <v>0</v>
      </c>
      <c r="I18" s="13"/>
      <c r="J18" s="468"/>
      <c r="K18" s="19" t="s">
        <v>1</v>
      </c>
      <c r="L18" s="20" t="s">
        <v>10</v>
      </c>
      <c r="M18" s="229">
        <v>29797165</v>
      </c>
      <c r="N18" s="169">
        <v>56155990</v>
      </c>
      <c r="O18" s="169">
        <v>38447102</v>
      </c>
      <c r="P18" s="170">
        <f t="shared" si="1"/>
        <v>68.464828061975226</v>
      </c>
      <c r="Q18" s="105"/>
    </row>
    <row r="19" spans="1:17" s="1" customFormat="1" ht="18" customHeight="1" x14ac:dyDescent="0.2">
      <c r="A19" s="17"/>
      <c r="B19" s="460"/>
      <c r="C19" s="19" t="s">
        <v>2</v>
      </c>
      <c r="D19" s="20" t="s">
        <v>12</v>
      </c>
      <c r="E19" s="231">
        <v>0</v>
      </c>
      <c r="F19" s="231">
        <v>0</v>
      </c>
      <c r="G19" s="229">
        <v>0</v>
      </c>
      <c r="H19" s="188">
        <v>0</v>
      </c>
      <c r="I19" s="13"/>
      <c r="J19" s="468"/>
      <c r="K19" s="19" t="s">
        <v>2</v>
      </c>
      <c r="L19" s="20" t="s">
        <v>12</v>
      </c>
      <c r="M19" s="229">
        <v>0</v>
      </c>
      <c r="N19" s="169">
        <v>0</v>
      </c>
      <c r="O19" s="169">
        <v>0</v>
      </c>
      <c r="P19" s="170">
        <v>0</v>
      </c>
      <c r="Q19" s="105"/>
    </row>
    <row r="20" spans="1:17" s="1" customFormat="1" ht="18" customHeight="1" x14ac:dyDescent="0.2">
      <c r="A20" s="17"/>
      <c r="B20" s="461"/>
      <c r="C20" s="19" t="s">
        <v>4</v>
      </c>
      <c r="D20" s="20" t="s">
        <v>11</v>
      </c>
      <c r="E20" s="187">
        <v>51000</v>
      </c>
      <c r="F20" s="187">
        <v>135000</v>
      </c>
      <c r="G20" s="167">
        <v>135000</v>
      </c>
      <c r="H20" s="188">
        <f t="shared" si="0"/>
        <v>100</v>
      </c>
      <c r="I20" s="13"/>
      <c r="J20" s="469"/>
      <c r="K20" s="19" t="s">
        <v>4</v>
      </c>
      <c r="L20" s="20" t="s">
        <v>11</v>
      </c>
      <c r="M20" s="229">
        <v>0</v>
      </c>
      <c r="N20" s="169">
        <v>0</v>
      </c>
      <c r="O20" s="169">
        <v>0</v>
      </c>
      <c r="P20" s="170">
        <v>0</v>
      </c>
      <c r="Q20" s="105"/>
    </row>
    <row r="21" spans="1:17" s="1" customFormat="1" ht="18" customHeight="1" x14ac:dyDescent="0.2">
      <c r="A21" s="17"/>
      <c r="B21" s="459" t="s">
        <v>68</v>
      </c>
      <c r="C21" s="471" t="s">
        <v>32</v>
      </c>
      <c r="D21" s="472"/>
      <c r="E21" s="186">
        <f>E22+E23+E24</f>
        <v>1726028</v>
      </c>
      <c r="F21" s="186">
        <f>F22+F23+F24</f>
        <v>359518</v>
      </c>
      <c r="G21" s="166">
        <f>G22+G23+G24</f>
        <v>364180</v>
      </c>
      <c r="H21" s="185">
        <f t="shared" si="0"/>
        <v>101.29673618567081</v>
      </c>
      <c r="I21" s="13"/>
      <c r="J21" s="467" t="s">
        <v>51</v>
      </c>
      <c r="K21" s="482" t="s">
        <v>31</v>
      </c>
      <c r="L21" s="482"/>
      <c r="M21" s="230">
        <f>M22+M23+M24</f>
        <v>28985126</v>
      </c>
      <c r="N21" s="230">
        <f>N22+N23+N24</f>
        <v>62955484</v>
      </c>
      <c r="O21" s="228">
        <f>O22+O23+O24</f>
        <v>38885722</v>
      </c>
      <c r="P21" s="165">
        <f t="shared" si="1"/>
        <v>61.767013021454972</v>
      </c>
      <c r="Q21" s="105"/>
    </row>
    <row r="22" spans="1:17" s="1" customFormat="1" ht="18" customHeight="1" x14ac:dyDescent="0.2">
      <c r="A22" s="17"/>
      <c r="B22" s="460"/>
      <c r="C22" s="19" t="s">
        <v>1</v>
      </c>
      <c r="D22" s="20" t="s">
        <v>10</v>
      </c>
      <c r="E22" s="187">
        <v>1726028</v>
      </c>
      <c r="F22" s="187">
        <v>359518</v>
      </c>
      <c r="G22" s="167">
        <v>364180</v>
      </c>
      <c r="H22" s="188">
        <f t="shared" si="0"/>
        <v>101.29673618567081</v>
      </c>
      <c r="I22" s="13"/>
      <c r="J22" s="468"/>
      <c r="K22" s="19" t="s">
        <v>1</v>
      </c>
      <c r="L22" s="20" t="s">
        <v>10</v>
      </c>
      <c r="M22" s="167">
        <v>28985126</v>
      </c>
      <c r="N22" s="168">
        <v>62955484</v>
      </c>
      <c r="O22" s="169">
        <v>38885722</v>
      </c>
      <c r="P22" s="170">
        <f t="shared" si="1"/>
        <v>61.767013021454972</v>
      </c>
      <c r="Q22" s="105"/>
    </row>
    <row r="23" spans="1:17" s="1" customFormat="1" ht="18" customHeight="1" x14ac:dyDescent="0.2">
      <c r="A23" s="17"/>
      <c r="B23" s="460"/>
      <c r="C23" s="19" t="s">
        <v>2</v>
      </c>
      <c r="D23" s="20" t="s">
        <v>12</v>
      </c>
      <c r="E23" s="187">
        <v>0</v>
      </c>
      <c r="F23" s="187">
        <v>0</v>
      </c>
      <c r="G23" s="167">
        <v>0</v>
      </c>
      <c r="H23" s="188">
        <v>0</v>
      </c>
      <c r="I23" s="13"/>
      <c r="J23" s="468"/>
      <c r="K23" s="19" t="s">
        <v>2</v>
      </c>
      <c r="L23" s="20" t="s">
        <v>12</v>
      </c>
      <c r="M23" s="167">
        <v>0</v>
      </c>
      <c r="N23" s="168">
        <v>0</v>
      </c>
      <c r="O23" s="168">
        <v>0</v>
      </c>
      <c r="P23" s="170">
        <v>0</v>
      </c>
      <c r="Q23" s="105"/>
    </row>
    <row r="24" spans="1:17" s="1" customFormat="1" ht="18" customHeight="1" x14ac:dyDescent="0.2">
      <c r="A24" s="17"/>
      <c r="B24" s="461"/>
      <c r="C24" s="19" t="s">
        <v>4</v>
      </c>
      <c r="D24" s="20" t="s">
        <v>11</v>
      </c>
      <c r="E24" s="187">
        <v>0</v>
      </c>
      <c r="F24" s="187">
        <v>0</v>
      </c>
      <c r="G24" s="167">
        <v>0</v>
      </c>
      <c r="H24" s="188">
        <v>0</v>
      </c>
      <c r="I24" s="13"/>
      <c r="J24" s="469"/>
      <c r="K24" s="19" t="s">
        <v>4</v>
      </c>
      <c r="L24" s="20" t="s">
        <v>11</v>
      </c>
      <c r="M24" s="167">
        <v>0</v>
      </c>
      <c r="N24" s="168">
        <v>0</v>
      </c>
      <c r="O24" s="168">
        <v>0</v>
      </c>
      <c r="P24" s="170">
        <v>0</v>
      </c>
      <c r="Q24" s="105"/>
    </row>
    <row r="25" spans="1:17" s="1" customFormat="1" ht="18" customHeight="1" x14ac:dyDescent="0.2">
      <c r="A25" s="17"/>
      <c r="B25" s="459" t="s">
        <v>70</v>
      </c>
      <c r="C25" s="462" t="s">
        <v>46</v>
      </c>
      <c r="D25" s="463"/>
      <c r="E25" s="186">
        <f>E26+E27+E28</f>
        <v>0</v>
      </c>
      <c r="F25" s="186">
        <v>0</v>
      </c>
      <c r="G25" s="166">
        <f>G26+G27+G28</f>
        <v>0</v>
      </c>
      <c r="H25" s="188">
        <v>0</v>
      </c>
      <c r="I25" s="13"/>
      <c r="J25" s="467" t="s">
        <v>52</v>
      </c>
      <c r="K25" s="475" t="s">
        <v>8</v>
      </c>
      <c r="L25" s="475"/>
      <c r="M25" s="166">
        <f>M26+M27+M28</f>
        <v>0</v>
      </c>
      <c r="N25" s="166">
        <v>0</v>
      </c>
      <c r="O25" s="164">
        <f>O26+O27+O28</f>
        <v>0</v>
      </c>
      <c r="P25" s="165">
        <v>0</v>
      </c>
      <c r="Q25" s="105"/>
    </row>
    <row r="26" spans="1:17" s="1" customFormat="1" ht="18" customHeight="1" x14ac:dyDescent="0.2">
      <c r="A26" s="17"/>
      <c r="B26" s="460"/>
      <c r="C26" s="19" t="s">
        <v>1</v>
      </c>
      <c r="D26" s="20" t="s">
        <v>10</v>
      </c>
      <c r="E26" s="187">
        <v>0</v>
      </c>
      <c r="F26" s="187">
        <v>0</v>
      </c>
      <c r="G26" s="167">
        <v>0</v>
      </c>
      <c r="H26" s="188">
        <v>0</v>
      </c>
      <c r="I26" s="13"/>
      <c r="J26" s="468"/>
      <c r="K26" s="19" t="s">
        <v>1</v>
      </c>
      <c r="L26" s="20" t="s">
        <v>10</v>
      </c>
      <c r="M26" s="167">
        <v>0</v>
      </c>
      <c r="N26" s="168">
        <v>0</v>
      </c>
      <c r="O26" s="168">
        <v>0</v>
      </c>
      <c r="P26" s="170">
        <v>0</v>
      </c>
      <c r="Q26" s="105"/>
    </row>
    <row r="27" spans="1:17" s="1" customFormat="1" ht="18" customHeight="1" x14ac:dyDescent="0.2">
      <c r="A27" s="17"/>
      <c r="B27" s="460"/>
      <c r="C27" s="19" t="s">
        <v>2</v>
      </c>
      <c r="D27" s="20" t="s">
        <v>12</v>
      </c>
      <c r="E27" s="187">
        <v>0</v>
      </c>
      <c r="F27" s="187">
        <v>0</v>
      </c>
      <c r="G27" s="167">
        <v>0</v>
      </c>
      <c r="H27" s="188">
        <v>0</v>
      </c>
      <c r="I27" s="13"/>
      <c r="J27" s="468"/>
      <c r="K27" s="19" t="s">
        <v>2</v>
      </c>
      <c r="L27" s="20" t="s">
        <v>12</v>
      </c>
      <c r="M27" s="167">
        <v>0</v>
      </c>
      <c r="N27" s="168">
        <v>0</v>
      </c>
      <c r="O27" s="168">
        <v>0</v>
      </c>
      <c r="P27" s="170">
        <v>0</v>
      </c>
      <c r="Q27" s="105"/>
    </row>
    <row r="28" spans="1:17" s="1" customFormat="1" ht="18" customHeight="1" x14ac:dyDescent="0.2">
      <c r="A28" s="18"/>
      <c r="B28" s="461"/>
      <c r="C28" s="19" t="s">
        <v>4</v>
      </c>
      <c r="D28" s="20" t="s">
        <v>11</v>
      </c>
      <c r="E28" s="187">
        <v>0</v>
      </c>
      <c r="F28" s="187">
        <v>0</v>
      </c>
      <c r="G28" s="167">
        <v>0</v>
      </c>
      <c r="H28" s="188">
        <v>0</v>
      </c>
      <c r="I28" s="13"/>
      <c r="J28" s="469"/>
      <c r="K28" s="19" t="s">
        <v>4</v>
      </c>
      <c r="L28" s="20" t="s">
        <v>11</v>
      </c>
      <c r="M28" s="167">
        <v>0</v>
      </c>
      <c r="N28" s="168">
        <v>0</v>
      </c>
      <c r="O28" s="168">
        <v>0</v>
      </c>
      <c r="P28" s="170">
        <v>0</v>
      </c>
      <c r="Q28" s="105"/>
    </row>
    <row r="29" spans="1:17" s="1" customFormat="1" ht="18" customHeight="1" x14ac:dyDescent="0.2">
      <c r="A29" s="486"/>
      <c r="B29" s="487"/>
      <c r="C29" s="487"/>
      <c r="D29" s="487"/>
      <c r="E29" s="487"/>
      <c r="F29" s="487"/>
      <c r="G29" s="487"/>
      <c r="H29" s="488"/>
      <c r="I29" s="13"/>
      <c r="J29" s="467" t="s">
        <v>53</v>
      </c>
      <c r="K29" s="482" t="s">
        <v>13</v>
      </c>
      <c r="L29" s="482"/>
      <c r="M29" s="166">
        <f>M30</f>
        <v>0</v>
      </c>
      <c r="N29" s="166">
        <v>0</v>
      </c>
      <c r="O29" s="166">
        <f>O30</f>
        <v>0</v>
      </c>
      <c r="P29" s="165">
        <v>0</v>
      </c>
      <c r="Q29" s="105"/>
    </row>
    <row r="30" spans="1:17" s="1" customFormat="1" ht="18" customHeight="1" x14ac:dyDescent="0.2">
      <c r="A30" s="489"/>
      <c r="B30" s="490"/>
      <c r="C30" s="490"/>
      <c r="D30" s="490"/>
      <c r="E30" s="490"/>
      <c r="F30" s="490"/>
      <c r="G30" s="490"/>
      <c r="H30" s="491"/>
      <c r="I30" s="13"/>
      <c r="J30" s="468"/>
      <c r="K30" s="19" t="s">
        <v>1</v>
      </c>
      <c r="L30" s="20" t="s">
        <v>10</v>
      </c>
      <c r="M30" s="167">
        <v>0</v>
      </c>
      <c r="N30" s="168">
        <v>0</v>
      </c>
      <c r="O30" s="171">
        <v>0</v>
      </c>
      <c r="P30" s="172">
        <v>0</v>
      </c>
      <c r="Q30" s="105"/>
    </row>
    <row r="31" spans="1:17" s="1" customFormat="1" ht="18" customHeight="1" x14ac:dyDescent="0.2">
      <c r="A31" s="489"/>
      <c r="B31" s="490"/>
      <c r="C31" s="490"/>
      <c r="D31" s="490"/>
      <c r="E31" s="490"/>
      <c r="F31" s="490"/>
      <c r="G31" s="490"/>
      <c r="H31" s="491"/>
      <c r="I31" s="13"/>
      <c r="J31" s="468"/>
      <c r="K31" s="33" t="s">
        <v>85</v>
      </c>
      <c r="L31" s="34" t="s">
        <v>87</v>
      </c>
      <c r="M31" s="173">
        <v>0</v>
      </c>
      <c r="N31" s="174">
        <v>0</v>
      </c>
      <c r="O31" s="175">
        <v>0</v>
      </c>
      <c r="P31" s="176">
        <v>0</v>
      </c>
      <c r="Q31" s="105"/>
    </row>
    <row r="32" spans="1:17" s="1" customFormat="1" ht="18" customHeight="1" x14ac:dyDescent="0.2">
      <c r="A32" s="492"/>
      <c r="B32" s="493"/>
      <c r="C32" s="493"/>
      <c r="D32" s="493"/>
      <c r="E32" s="493"/>
      <c r="F32" s="493"/>
      <c r="G32" s="493"/>
      <c r="H32" s="494"/>
      <c r="I32" s="13"/>
      <c r="J32" s="468"/>
      <c r="K32" s="43" t="s">
        <v>86</v>
      </c>
      <c r="L32" s="44" t="s">
        <v>88</v>
      </c>
      <c r="M32" s="177">
        <v>0</v>
      </c>
      <c r="N32" s="178">
        <v>0</v>
      </c>
      <c r="O32" s="179">
        <v>0</v>
      </c>
      <c r="P32" s="180">
        <v>0</v>
      </c>
      <c r="Q32" s="105"/>
    </row>
    <row r="33" spans="1:17" s="1" customFormat="1" ht="18" customHeight="1" x14ac:dyDescent="0.2">
      <c r="A33" s="35" t="s">
        <v>0</v>
      </c>
      <c r="B33" s="495" t="s">
        <v>22</v>
      </c>
      <c r="C33" s="496"/>
      <c r="D33" s="497"/>
      <c r="E33" s="189">
        <f>+E34+E35+E36</f>
        <v>2979692</v>
      </c>
      <c r="F33" s="189">
        <f>+F34+F35+F36</f>
        <v>62935731</v>
      </c>
      <c r="G33" s="189">
        <f>+G34+G35+G36</f>
        <v>29040393</v>
      </c>
      <c r="H33" s="190">
        <f>+G33/F33*100</f>
        <v>46.142934289585035</v>
      </c>
      <c r="I33" s="23" t="s">
        <v>0</v>
      </c>
      <c r="J33" s="478" t="s">
        <v>17</v>
      </c>
      <c r="K33" s="561"/>
      <c r="L33" s="561"/>
      <c r="M33" s="181">
        <f>+M34+M35+M36</f>
        <v>240477888</v>
      </c>
      <c r="N33" s="181">
        <f>+N34+N35+N36</f>
        <v>486934367</v>
      </c>
      <c r="O33" s="181">
        <f>+O34+O35+O36</f>
        <v>331440320</v>
      </c>
      <c r="P33" s="182">
        <f t="shared" si="1"/>
        <v>68.066733930078101</v>
      </c>
      <c r="Q33" s="105"/>
    </row>
    <row r="34" spans="1:17" s="1" customFormat="1" ht="18" customHeight="1" x14ac:dyDescent="0.2">
      <c r="A34" s="24"/>
      <c r="B34" s="479" t="s">
        <v>73</v>
      </c>
      <c r="C34" s="25" t="s">
        <v>1</v>
      </c>
      <c r="D34" s="26" t="s">
        <v>10</v>
      </c>
      <c r="E34" s="191">
        <f t="shared" ref="E34:G36" si="2">+E26+E22+E18+E14</f>
        <v>2928692</v>
      </c>
      <c r="F34" s="191">
        <f t="shared" si="2"/>
        <v>62800731</v>
      </c>
      <c r="G34" s="191">
        <f t="shared" si="2"/>
        <v>28905393</v>
      </c>
      <c r="H34" s="192">
        <f t="shared" ref="H34:H36" si="3">+G34/F34*100</f>
        <v>46.027160097865739</v>
      </c>
      <c r="I34" s="484"/>
      <c r="J34" s="483" t="s">
        <v>72</v>
      </c>
      <c r="K34" s="25" t="s">
        <v>1</v>
      </c>
      <c r="L34" s="26" t="s">
        <v>10</v>
      </c>
      <c r="M34" s="183">
        <f>+M30+M26+M22+M18+M14</f>
        <v>240477888</v>
      </c>
      <c r="N34" s="183">
        <f>+N30+N26+N22+N18+N14</f>
        <v>486934367</v>
      </c>
      <c r="O34" s="183">
        <f>+O30+O26+O22+O18+O14</f>
        <v>331440320</v>
      </c>
      <c r="P34" s="184">
        <f t="shared" si="1"/>
        <v>68.066733930078101</v>
      </c>
      <c r="Q34" s="105"/>
    </row>
    <row r="35" spans="1:17" s="1" customFormat="1" ht="18" customHeight="1" x14ac:dyDescent="0.2">
      <c r="A35" s="24"/>
      <c r="B35" s="480"/>
      <c r="C35" s="25" t="s">
        <v>2</v>
      </c>
      <c r="D35" s="26" t="s">
        <v>12</v>
      </c>
      <c r="E35" s="191">
        <f t="shared" si="2"/>
        <v>0</v>
      </c>
      <c r="F35" s="191">
        <f t="shared" si="2"/>
        <v>0</v>
      </c>
      <c r="G35" s="191">
        <f t="shared" si="2"/>
        <v>0</v>
      </c>
      <c r="H35" s="192">
        <v>0</v>
      </c>
      <c r="I35" s="484"/>
      <c r="J35" s="483"/>
      <c r="K35" s="25" t="s">
        <v>2</v>
      </c>
      <c r="L35" s="26" t="s">
        <v>12</v>
      </c>
      <c r="M35" s="41">
        <f t="shared" ref="M35:O36" si="4">+M27+M23+M19+M15</f>
        <v>0</v>
      </c>
      <c r="N35" s="41">
        <f t="shared" si="4"/>
        <v>0</v>
      </c>
      <c r="O35" s="41">
        <f t="shared" si="4"/>
        <v>0</v>
      </c>
      <c r="P35" s="263">
        <v>0</v>
      </c>
      <c r="Q35" s="105"/>
    </row>
    <row r="36" spans="1:17" s="1" customFormat="1" ht="18" customHeight="1" x14ac:dyDescent="0.2">
      <c r="A36" s="27"/>
      <c r="B36" s="481"/>
      <c r="C36" s="25" t="s">
        <v>4</v>
      </c>
      <c r="D36" s="26" t="s">
        <v>11</v>
      </c>
      <c r="E36" s="191">
        <f t="shared" si="2"/>
        <v>51000</v>
      </c>
      <c r="F36" s="191">
        <f t="shared" si="2"/>
        <v>135000</v>
      </c>
      <c r="G36" s="191">
        <f t="shared" si="2"/>
        <v>135000</v>
      </c>
      <c r="H36" s="192">
        <f t="shared" si="3"/>
        <v>100</v>
      </c>
      <c r="I36" s="485"/>
      <c r="J36" s="483"/>
      <c r="K36" s="25" t="s">
        <v>4</v>
      </c>
      <c r="L36" s="26" t="s">
        <v>11</v>
      </c>
      <c r="M36" s="42">
        <f t="shared" si="4"/>
        <v>0</v>
      </c>
      <c r="N36" s="42">
        <f t="shared" si="4"/>
        <v>0</v>
      </c>
      <c r="O36" s="42">
        <f t="shared" si="4"/>
        <v>0</v>
      </c>
      <c r="P36" s="269">
        <v>0</v>
      </c>
      <c r="Q36" s="105"/>
    </row>
    <row r="37" spans="1:17" s="40" customFormat="1" ht="30.75" customHeight="1" thickBot="1" x14ac:dyDescent="0.25">
      <c r="A37" s="502" t="s">
        <v>89</v>
      </c>
      <c r="B37" s="503"/>
      <c r="C37" s="503"/>
      <c r="D37" s="504"/>
      <c r="E37" s="354">
        <f>M33-E33</f>
        <v>237498196</v>
      </c>
      <c r="F37" s="354">
        <f>N33-F33</f>
        <v>423998636</v>
      </c>
      <c r="G37" s="354">
        <f>O33-G33</f>
        <v>302399927</v>
      </c>
      <c r="H37" s="355"/>
      <c r="I37" s="502" t="s">
        <v>90</v>
      </c>
      <c r="J37" s="503"/>
      <c r="K37" s="503"/>
      <c r="L37" s="504"/>
      <c r="M37" s="354"/>
      <c r="N37" s="356"/>
      <c r="O37" s="356"/>
      <c r="P37" s="357"/>
      <c r="Q37" s="107"/>
    </row>
    <row r="38" spans="1:17" s="1" customFormat="1" ht="18" customHeight="1" x14ac:dyDescent="0.2">
      <c r="A38" s="558" t="s">
        <v>45</v>
      </c>
      <c r="B38" s="559"/>
      <c r="C38" s="559"/>
      <c r="D38" s="559"/>
      <c r="E38" s="559"/>
      <c r="F38" s="559"/>
      <c r="G38" s="559"/>
      <c r="H38" s="559"/>
      <c r="I38" s="559"/>
      <c r="J38" s="559"/>
      <c r="K38" s="559"/>
      <c r="L38" s="559"/>
      <c r="M38" s="559"/>
      <c r="N38" s="559"/>
      <c r="O38" s="559"/>
      <c r="P38" s="560"/>
      <c r="Q38" s="105"/>
    </row>
    <row r="39" spans="1:17" s="1" customFormat="1" ht="18" customHeight="1" x14ac:dyDescent="0.2">
      <c r="A39" s="16" t="s">
        <v>3</v>
      </c>
      <c r="B39" s="549" t="s">
        <v>23</v>
      </c>
      <c r="C39" s="550"/>
      <c r="D39" s="551"/>
      <c r="E39" s="166">
        <f>E40+E44+E48</f>
        <v>0</v>
      </c>
      <c r="F39" s="166">
        <f>F40+F44+F48</f>
        <v>0</v>
      </c>
      <c r="G39" s="164">
        <f>G40+G44+G48</f>
        <v>0</v>
      </c>
      <c r="H39" s="185">
        <v>0</v>
      </c>
      <c r="I39" s="14" t="s">
        <v>3</v>
      </c>
      <c r="J39" s="552" t="s">
        <v>21</v>
      </c>
      <c r="K39" s="553"/>
      <c r="L39" s="554"/>
      <c r="M39" s="163">
        <f>M40+M44+M48</f>
        <v>7478290</v>
      </c>
      <c r="N39" s="163">
        <f>N40+N44+N48</f>
        <v>635000</v>
      </c>
      <c r="O39" s="164">
        <f>O40+O44+O48</f>
        <v>0</v>
      </c>
      <c r="P39" s="165">
        <f t="shared" ref="P39:P53" si="5">+O39/N39*100</f>
        <v>0</v>
      </c>
      <c r="Q39" s="105"/>
    </row>
    <row r="40" spans="1:17" s="1" customFormat="1" ht="18" customHeight="1" x14ac:dyDescent="0.2">
      <c r="A40" s="17"/>
      <c r="B40" s="459" t="s">
        <v>66</v>
      </c>
      <c r="C40" s="473" t="s">
        <v>258</v>
      </c>
      <c r="D40" s="474"/>
      <c r="E40" s="186">
        <f>E41+E42+E43</f>
        <v>0</v>
      </c>
      <c r="F40" s="186">
        <f>F41+F42+F43</f>
        <v>0</v>
      </c>
      <c r="G40" s="166">
        <f>G41+G42+G43</f>
        <v>0</v>
      </c>
      <c r="H40" s="185">
        <v>0</v>
      </c>
      <c r="I40" s="13"/>
      <c r="J40" s="467" t="s">
        <v>55</v>
      </c>
      <c r="K40" s="462" t="s">
        <v>14</v>
      </c>
      <c r="L40" s="463"/>
      <c r="M40" s="166">
        <f>M41+M42+M43</f>
        <v>7478290</v>
      </c>
      <c r="N40" s="166">
        <f>N41+N42+N43</f>
        <v>635000</v>
      </c>
      <c r="O40" s="164">
        <f>O41+O42+O43</f>
        <v>0</v>
      </c>
      <c r="P40" s="165">
        <f t="shared" si="5"/>
        <v>0</v>
      </c>
      <c r="Q40" s="105"/>
    </row>
    <row r="41" spans="1:17" s="1" customFormat="1" ht="18" customHeight="1" x14ac:dyDescent="0.2">
      <c r="A41" s="17"/>
      <c r="B41" s="460"/>
      <c r="C41" s="19" t="s">
        <v>1</v>
      </c>
      <c r="D41" s="20" t="s">
        <v>10</v>
      </c>
      <c r="E41" s="187">
        <v>0</v>
      </c>
      <c r="F41" s="187">
        <v>0</v>
      </c>
      <c r="G41" s="167">
        <v>0</v>
      </c>
      <c r="H41" s="188">
        <v>0</v>
      </c>
      <c r="I41" s="13"/>
      <c r="J41" s="468"/>
      <c r="K41" s="19" t="s">
        <v>1</v>
      </c>
      <c r="L41" s="20" t="s">
        <v>10</v>
      </c>
      <c r="M41" s="167">
        <v>7478290</v>
      </c>
      <c r="N41" s="168">
        <v>635000</v>
      </c>
      <c r="O41" s="169">
        <v>0</v>
      </c>
      <c r="P41" s="170">
        <f t="shared" si="5"/>
        <v>0</v>
      </c>
      <c r="Q41" s="105"/>
    </row>
    <row r="42" spans="1:17" s="1" customFormat="1" ht="18" customHeight="1" x14ac:dyDescent="0.2">
      <c r="A42" s="17"/>
      <c r="B42" s="460"/>
      <c r="C42" s="19" t="s">
        <v>2</v>
      </c>
      <c r="D42" s="20" t="s">
        <v>12</v>
      </c>
      <c r="E42" s="187">
        <v>0</v>
      </c>
      <c r="F42" s="187">
        <v>0</v>
      </c>
      <c r="G42" s="167">
        <v>0</v>
      </c>
      <c r="H42" s="188">
        <v>0</v>
      </c>
      <c r="I42" s="13"/>
      <c r="J42" s="468"/>
      <c r="K42" s="19" t="s">
        <v>2</v>
      </c>
      <c r="L42" s="20" t="s">
        <v>12</v>
      </c>
      <c r="M42" s="167">
        <v>0</v>
      </c>
      <c r="N42" s="168">
        <v>0</v>
      </c>
      <c r="O42" s="168">
        <v>0</v>
      </c>
      <c r="P42" s="170">
        <v>0</v>
      </c>
      <c r="Q42" s="105"/>
    </row>
    <row r="43" spans="1:17" s="1" customFormat="1" ht="18" customHeight="1" x14ac:dyDescent="0.2">
      <c r="A43" s="17"/>
      <c r="B43" s="461"/>
      <c r="C43" s="19" t="s">
        <v>4</v>
      </c>
      <c r="D43" s="20" t="s">
        <v>11</v>
      </c>
      <c r="E43" s="187">
        <v>0</v>
      </c>
      <c r="F43" s="187">
        <v>0</v>
      </c>
      <c r="G43" s="167">
        <v>0</v>
      </c>
      <c r="H43" s="188">
        <v>0</v>
      </c>
      <c r="I43" s="13"/>
      <c r="J43" s="469"/>
      <c r="K43" s="19" t="s">
        <v>4</v>
      </c>
      <c r="L43" s="20" t="s">
        <v>11</v>
      </c>
      <c r="M43" s="167">
        <v>0</v>
      </c>
      <c r="N43" s="168">
        <v>0</v>
      </c>
      <c r="O43" s="168">
        <v>0</v>
      </c>
      <c r="P43" s="170">
        <v>0</v>
      </c>
      <c r="Q43" s="105"/>
    </row>
    <row r="44" spans="1:17" s="1" customFormat="1" ht="18" customHeight="1" x14ac:dyDescent="0.2">
      <c r="A44" s="17"/>
      <c r="B44" s="459" t="s">
        <v>69</v>
      </c>
      <c r="C44" s="471" t="s">
        <v>24</v>
      </c>
      <c r="D44" s="472"/>
      <c r="E44" s="186">
        <f>E45+E46+E47</f>
        <v>0</v>
      </c>
      <c r="F44" s="186">
        <v>0</v>
      </c>
      <c r="G44" s="166">
        <f>G45+G46+G47</f>
        <v>0</v>
      </c>
      <c r="H44" s="188">
        <v>0</v>
      </c>
      <c r="I44" s="13"/>
      <c r="J44" s="467" t="s">
        <v>56</v>
      </c>
      <c r="K44" s="471" t="s">
        <v>15</v>
      </c>
      <c r="L44" s="472"/>
      <c r="M44" s="166">
        <f>M45+M46+M47</f>
        <v>0</v>
      </c>
      <c r="N44" s="166">
        <v>0</v>
      </c>
      <c r="O44" s="164">
        <f>O45+O46+O47</f>
        <v>0</v>
      </c>
      <c r="P44" s="165">
        <v>0</v>
      </c>
      <c r="Q44" s="105"/>
    </row>
    <row r="45" spans="1:17" s="1" customFormat="1" ht="18" customHeight="1" x14ac:dyDescent="0.2">
      <c r="A45" s="17"/>
      <c r="B45" s="460"/>
      <c r="C45" s="19" t="s">
        <v>1</v>
      </c>
      <c r="D45" s="20" t="s">
        <v>10</v>
      </c>
      <c r="E45" s="187">
        <v>0</v>
      </c>
      <c r="F45" s="187">
        <v>0</v>
      </c>
      <c r="G45" s="167">
        <v>0</v>
      </c>
      <c r="H45" s="188">
        <v>0</v>
      </c>
      <c r="I45" s="13"/>
      <c r="J45" s="468"/>
      <c r="K45" s="19" t="s">
        <v>1</v>
      </c>
      <c r="L45" s="20" t="s">
        <v>10</v>
      </c>
      <c r="M45" s="167">
        <v>0</v>
      </c>
      <c r="N45" s="168">
        <v>0</v>
      </c>
      <c r="O45" s="168">
        <v>0</v>
      </c>
      <c r="P45" s="170">
        <v>0</v>
      </c>
      <c r="Q45" s="105"/>
    </row>
    <row r="46" spans="1:17" s="1" customFormat="1" ht="18" customHeight="1" x14ac:dyDescent="0.2">
      <c r="A46" s="17"/>
      <c r="B46" s="460"/>
      <c r="C46" s="19" t="s">
        <v>2</v>
      </c>
      <c r="D46" s="20" t="s">
        <v>12</v>
      </c>
      <c r="E46" s="187">
        <v>0</v>
      </c>
      <c r="F46" s="187">
        <v>0</v>
      </c>
      <c r="G46" s="167">
        <v>0</v>
      </c>
      <c r="H46" s="188">
        <v>0</v>
      </c>
      <c r="I46" s="13"/>
      <c r="J46" s="468"/>
      <c r="K46" s="19" t="s">
        <v>2</v>
      </c>
      <c r="L46" s="20" t="s">
        <v>12</v>
      </c>
      <c r="M46" s="167">
        <v>0</v>
      </c>
      <c r="N46" s="168">
        <v>0</v>
      </c>
      <c r="O46" s="168">
        <v>0</v>
      </c>
      <c r="P46" s="170">
        <v>0</v>
      </c>
      <c r="Q46" s="105"/>
    </row>
    <row r="47" spans="1:17" s="1" customFormat="1" ht="18" customHeight="1" x14ac:dyDescent="0.2">
      <c r="A47" s="17"/>
      <c r="B47" s="461"/>
      <c r="C47" s="19" t="s">
        <v>4</v>
      </c>
      <c r="D47" s="20" t="s">
        <v>11</v>
      </c>
      <c r="E47" s="187">
        <v>0</v>
      </c>
      <c r="F47" s="187">
        <v>0</v>
      </c>
      <c r="G47" s="167">
        <v>0</v>
      </c>
      <c r="H47" s="188">
        <v>0</v>
      </c>
      <c r="I47" s="13"/>
      <c r="J47" s="469"/>
      <c r="K47" s="19" t="s">
        <v>4</v>
      </c>
      <c r="L47" s="20" t="s">
        <v>11</v>
      </c>
      <c r="M47" s="167">
        <v>0</v>
      </c>
      <c r="N47" s="168">
        <v>0</v>
      </c>
      <c r="O47" s="168">
        <v>0</v>
      </c>
      <c r="P47" s="170">
        <v>0</v>
      </c>
      <c r="Q47" s="105"/>
    </row>
    <row r="48" spans="1:17" s="1" customFormat="1" ht="18" customHeight="1" x14ac:dyDescent="0.2">
      <c r="A48" s="17"/>
      <c r="B48" s="459" t="s">
        <v>71</v>
      </c>
      <c r="C48" s="462" t="s">
        <v>47</v>
      </c>
      <c r="D48" s="463"/>
      <c r="E48" s="186">
        <f>E49+E50+E51</f>
        <v>0</v>
      </c>
      <c r="F48" s="186">
        <v>0</v>
      </c>
      <c r="G48" s="166">
        <f>G49+G50+G51</f>
        <v>0</v>
      </c>
      <c r="H48" s="188">
        <v>0</v>
      </c>
      <c r="I48" s="13"/>
      <c r="J48" s="467" t="s">
        <v>57</v>
      </c>
      <c r="K48" s="482" t="s">
        <v>58</v>
      </c>
      <c r="L48" s="482"/>
      <c r="M48" s="166">
        <f>M49+M50+M51</f>
        <v>0</v>
      </c>
      <c r="N48" s="166">
        <v>0</v>
      </c>
      <c r="O48" s="164">
        <f>O49+O50+O51</f>
        <v>0</v>
      </c>
      <c r="P48" s="165">
        <v>0</v>
      </c>
      <c r="Q48" s="105"/>
    </row>
    <row r="49" spans="1:17" s="1" customFormat="1" ht="18" customHeight="1" x14ac:dyDescent="0.2">
      <c r="A49" s="17"/>
      <c r="B49" s="460"/>
      <c r="C49" s="19" t="s">
        <v>1</v>
      </c>
      <c r="D49" s="20" t="s">
        <v>10</v>
      </c>
      <c r="E49" s="187">
        <v>0</v>
      </c>
      <c r="F49" s="187">
        <v>0</v>
      </c>
      <c r="G49" s="167">
        <v>0</v>
      </c>
      <c r="H49" s="188">
        <v>0</v>
      </c>
      <c r="I49" s="13"/>
      <c r="J49" s="468"/>
      <c r="K49" s="19" t="s">
        <v>1</v>
      </c>
      <c r="L49" s="20" t="s">
        <v>10</v>
      </c>
      <c r="M49" s="167">
        <v>0</v>
      </c>
      <c r="N49" s="168">
        <v>0</v>
      </c>
      <c r="O49" s="168">
        <v>0</v>
      </c>
      <c r="P49" s="170">
        <v>0</v>
      </c>
      <c r="Q49" s="105"/>
    </row>
    <row r="50" spans="1:17" s="1" customFormat="1" ht="18" customHeight="1" x14ac:dyDescent="0.2">
      <c r="A50" s="17"/>
      <c r="B50" s="460"/>
      <c r="C50" s="19" t="s">
        <v>2</v>
      </c>
      <c r="D50" s="20" t="s">
        <v>12</v>
      </c>
      <c r="E50" s="187">
        <v>0</v>
      </c>
      <c r="F50" s="187">
        <v>0</v>
      </c>
      <c r="G50" s="167">
        <v>0</v>
      </c>
      <c r="H50" s="188">
        <v>0</v>
      </c>
      <c r="I50" s="13"/>
      <c r="J50" s="468"/>
      <c r="K50" s="19" t="s">
        <v>2</v>
      </c>
      <c r="L50" s="20" t="s">
        <v>12</v>
      </c>
      <c r="M50" s="167">
        <v>0</v>
      </c>
      <c r="N50" s="168">
        <v>0</v>
      </c>
      <c r="O50" s="168">
        <v>0</v>
      </c>
      <c r="P50" s="170">
        <v>0</v>
      </c>
      <c r="Q50" s="105"/>
    </row>
    <row r="51" spans="1:17" s="1" customFormat="1" ht="18" customHeight="1" x14ac:dyDescent="0.2">
      <c r="A51" s="18"/>
      <c r="B51" s="461"/>
      <c r="C51" s="19" t="s">
        <v>4</v>
      </c>
      <c r="D51" s="20" t="s">
        <v>11</v>
      </c>
      <c r="E51" s="187">
        <v>0</v>
      </c>
      <c r="F51" s="187">
        <v>0</v>
      </c>
      <c r="G51" s="167">
        <v>0</v>
      </c>
      <c r="H51" s="188">
        <v>0</v>
      </c>
      <c r="I51" s="12"/>
      <c r="J51" s="469"/>
      <c r="K51" s="19" t="s">
        <v>4</v>
      </c>
      <c r="L51" s="20" t="s">
        <v>11</v>
      </c>
      <c r="M51" s="167">
        <v>0</v>
      </c>
      <c r="N51" s="168">
        <v>0</v>
      </c>
      <c r="O51" s="168">
        <v>0</v>
      </c>
      <c r="P51" s="170">
        <v>0</v>
      </c>
      <c r="Q51" s="105"/>
    </row>
    <row r="52" spans="1:17" s="1" customFormat="1" ht="18" customHeight="1" x14ac:dyDescent="0.2">
      <c r="A52" s="22" t="s">
        <v>3</v>
      </c>
      <c r="B52" s="476" t="s">
        <v>25</v>
      </c>
      <c r="C52" s="477"/>
      <c r="D52" s="478"/>
      <c r="E52" s="193">
        <f>E53+E54+E55</f>
        <v>0</v>
      </c>
      <c r="F52" s="193">
        <f>F53+F54+F55</f>
        <v>0</v>
      </c>
      <c r="G52" s="181">
        <f>G53+G54+G55</f>
        <v>0</v>
      </c>
      <c r="H52" s="194">
        <v>0</v>
      </c>
      <c r="I52" s="23" t="s">
        <v>3</v>
      </c>
      <c r="J52" s="476" t="s">
        <v>18</v>
      </c>
      <c r="K52" s="477"/>
      <c r="L52" s="478"/>
      <c r="M52" s="181">
        <f>M53+M54+M55</f>
        <v>7478290</v>
      </c>
      <c r="N52" s="181">
        <f>N53+N54+N55</f>
        <v>635000</v>
      </c>
      <c r="O52" s="201">
        <f>O53+O54+O55</f>
        <v>0</v>
      </c>
      <c r="P52" s="182">
        <f t="shared" si="5"/>
        <v>0</v>
      </c>
      <c r="Q52" s="105"/>
    </row>
    <row r="53" spans="1:17" s="1" customFormat="1" ht="18" customHeight="1" x14ac:dyDescent="0.2">
      <c r="A53" s="24"/>
      <c r="B53" s="514" t="s">
        <v>74</v>
      </c>
      <c r="C53" s="25" t="s">
        <v>1</v>
      </c>
      <c r="D53" s="26" t="s">
        <v>10</v>
      </c>
      <c r="E53" s="191">
        <f t="shared" ref="E53:F55" si="6">E41+E45+E49</f>
        <v>0</v>
      </c>
      <c r="F53" s="191">
        <f t="shared" si="6"/>
        <v>0</v>
      </c>
      <c r="G53" s="183">
        <f t="shared" ref="G53:G55" si="7">G41+G45+G49</f>
        <v>0</v>
      </c>
      <c r="H53" s="195">
        <v>0</v>
      </c>
      <c r="I53" s="28"/>
      <c r="J53" s="547" t="s">
        <v>59</v>
      </c>
      <c r="K53" s="25" t="s">
        <v>1</v>
      </c>
      <c r="L53" s="26" t="s">
        <v>10</v>
      </c>
      <c r="M53" s="183">
        <f t="shared" ref="M53:N55" si="8">M41+M45+M49</f>
        <v>7478290</v>
      </c>
      <c r="N53" s="183">
        <f t="shared" si="8"/>
        <v>635000</v>
      </c>
      <c r="O53" s="196">
        <f t="shared" ref="O53:O55" si="9">O41+O45+O49</f>
        <v>0</v>
      </c>
      <c r="P53" s="184">
        <f t="shared" si="5"/>
        <v>0</v>
      </c>
      <c r="Q53" s="105"/>
    </row>
    <row r="54" spans="1:17" s="1" customFormat="1" ht="18" customHeight="1" x14ac:dyDescent="0.2">
      <c r="A54" s="24"/>
      <c r="B54" s="515"/>
      <c r="C54" s="25" t="s">
        <v>2</v>
      </c>
      <c r="D54" s="26" t="s">
        <v>12</v>
      </c>
      <c r="E54" s="191">
        <f t="shared" si="6"/>
        <v>0</v>
      </c>
      <c r="F54" s="191">
        <f t="shared" si="6"/>
        <v>0</v>
      </c>
      <c r="G54" s="183">
        <f t="shared" si="7"/>
        <v>0</v>
      </c>
      <c r="H54" s="195">
        <v>0</v>
      </c>
      <c r="I54" s="28"/>
      <c r="J54" s="547"/>
      <c r="K54" s="25" t="s">
        <v>2</v>
      </c>
      <c r="L54" s="26" t="s">
        <v>12</v>
      </c>
      <c r="M54" s="183">
        <f t="shared" si="8"/>
        <v>0</v>
      </c>
      <c r="N54" s="183">
        <f t="shared" si="8"/>
        <v>0</v>
      </c>
      <c r="O54" s="196">
        <f t="shared" si="9"/>
        <v>0</v>
      </c>
      <c r="P54" s="184">
        <v>0</v>
      </c>
      <c r="Q54" s="105"/>
    </row>
    <row r="55" spans="1:17" s="1" customFormat="1" ht="18" customHeight="1" x14ac:dyDescent="0.2">
      <c r="A55" s="24"/>
      <c r="B55" s="515"/>
      <c r="C55" s="30" t="s">
        <v>4</v>
      </c>
      <c r="D55" s="31" t="s">
        <v>11</v>
      </c>
      <c r="E55" s="183">
        <f t="shared" si="6"/>
        <v>0</v>
      </c>
      <c r="F55" s="183">
        <f t="shared" si="6"/>
        <v>0</v>
      </c>
      <c r="G55" s="196">
        <f t="shared" si="7"/>
        <v>0</v>
      </c>
      <c r="H55" s="195">
        <v>0</v>
      </c>
      <c r="I55" s="28"/>
      <c r="J55" s="548"/>
      <c r="K55" s="30" t="s">
        <v>4</v>
      </c>
      <c r="L55" s="31" t="s">
        <v>11</v>
      </c>
      <c r="M55" s="198">
        <f t="shared" si="8"/>
        <v>0</v>
      </c>
      <c r="N55" s="198">
        <f t="shared" si="8"/>
        <v>0</v>
      </c>
      <c r="O55" s="196">
        <f t="shared" si="9"/>
        <v>0</v>
      </c>
      <c r="P55" s="184">
        <v>0</v>
      </c>
      <c r="Q55" s="105"/>
    </row>
    <row r="56" spans="1:17" s="39" customFormat="1" ht="31.5" customHeight="1" thickBot="1" x14ac:dyDescent="0.25">
      <c r="A56" s="505" t="s">
        <v>91</v>
      </c>
      <c r="B56" s="506"/>
      <c r="C56" s="506"/>
      <c r="D56" s="506"/>
      <c r="E56" s="358">
        <f>M52-E52</f>
        <v>7478290</v>
      </c>
      <c r="F56" s="359">
        <f>N52-F52</f>
        <v>635000</v>
      </c>
      <c r="G56" s="356">
        <f>O52-G52</f>
        <v>0</v>
      </c>
      <c r="H56" s="360"/>
      <c r="I56" s="505" t="s">
        <v>92</v>
      </c>
      <c r="J56" s="506"/>
      <c r="K56" s="506"/>
      <c r="L56" s="506"/>
      <c r="M56" s="349"/>
      <c r="N56" s="361"/>
      <c r="O56" s="356"/>
      <c r="P56" s="357"/>
      <c r="Q56" s="108"/>
    </row>
    <row r="57" spans="1:17" s="1" customFormat="1" ht="18" customHeight="1" x14ac:dyDescent="0.2">
      <c r="A57" s="32" t="s">
        <v>34</v>
      </c>
      <c r="B57" s="537" t="s">
        <v>35</v>
      </c>
      <c r="C57" s="538"/>
      <c r="D57" s="539"/>
      <c r="E57" s="197">
        <f>E58+E59+E60</f>
        <v>2979692</v>
      </c>
      <c r="F57" s="197">
        <f>F58+F59+F60</f>
        <v>62935731</v>
      </c>
      <c r="G57" s="197">
        <f>G58+G59+G60</f>
        <v>29040393</v>
      </c>
      <c r="H57" s="194">
        <f t="shared" ref="H57" si="10">+G57/F57*100</f>
        <v>46.142934289585035</v>
      </c>
      <c r="I57" s="35" t="s">
        <v>34</v>
      </c>
      <c r="J57" s="545" t="s">
        <v>37</v>
      </c>
      <c r="K57" s="546"/>
      <c r="L57" s="546"/>
      <c r="M57" s="197">
        <f>M58+M59+M60</f>
        <v>247956178</v>
      </c>
      <c r="N57" s="197">
        <f>N58+N59+N60</f>
        <v>487569367</v>
      </c>
      <c r="O57" s="197">
        <f>O58+O59+O60</f>
        <v>331440320</v>
      </c>
      <c r="P57" s="202">
        <f t="shared" ref="P57:P58" si="11">+O57/N57*100</f>
        <v>67.978085259814932</v>
      </c>
      <c r="Q57" s="105"/>
    </row>
    <row r="58" spans="1:17" s="1" customFormat="1" ht="18" customHeight="1" x14ac:dyDescent="0.2">
      <c r="A58" s="24"/>
      <c r="B58" s="511" t="s">
        <v>76</v>
      </c>
      <c r="C58" s="25" t="s">
        <v>1</v>
      </c>
      <c r="D58" s="26" t="s">
        <v>10</v>
      </c>
      <c r="E58" s="198">
        <f t="shared" ref="E58:G60" si="12">E34+E53</f>
        <v>2928692</v>
      </c>
      <c r="F58" s="198">
        <f t="shared" si="12"/>
        <v>62800731</v>
      </c>
      <c r="G58" s="198">
        <f t="shared" si="12"/>
        <v>28905393</v>
      </c>
      <c r="H58" s="195">
        <f>+G58/F58*100</f>
        <v>46.027160097865739</v>
      </c>
      <c r="I58" s="484"/>
      <c r="J58" s="536" t="s">
        <v>75</v>
      </c>
      <c r="K58" s="25" t="s">
        <v>1</v>
      </c>
      <c r="L58" s="26" t="s">
        <v>10</v>
      </c>
      <c r="M58" s="198">
        <f t="shared" ref="M58:O60" si="13">M34+M53</f>
        <v>247956178</v>
      </c>
      <c r="N58" s="198">
        <f t="shared" si="13"/>
        <v>487569367</v>
      </c>
      <c r="O58" s="198">
        <f t="shared" si="13"/>
        <v>331440320</v>
      </c>
      <c r="P58" s="203">
        <f t="shared" si="11"/>
        <v>67.978085259814932</v>
      </c>
      <c r="Q58" s="105"/>
    </row>
    <row r="59" spans="1:17" s="1" customFormat="1" ht="18" customHeight="1" x14ac:dyDescent="0.2">
      <c r="A59" s="24"/>
      <c r="B59" s="512"/>
      <c r="C59" s="25" t="s">
        <v>2</v>
      </c>
      <c r="D59" s="26" t="s">
        <v>12</v>
      </c>
      <c r="E59" s="198">
        <f t="shared" si="12"/>
        <v>0</v>
      </c>
      <c r="F59" s="198">
        <f t="shared" si="12"/>
        <v>0</v>
      </c>
      <c r="G59" s="198">
        <f t="shared" si="12"/>
        <v>0</v>
      </c>
      <c r="H59" s="195">
        <v>0</v>
      </c>
      <c r="I59" s="484"/>
      <c r="J59" s="536"/>
      <c r="K59" s="25" t="s">
        <v>2</v>
      </c>
      <c r="L59" s="26" t="s">
        <v>12</v>
      </c>
      <c r="M59" s="198">
        <f t="shared" si="13"/>
        <v>0</v>
      </c>
      <c r="N59" s="198">
        <f t="shared" si="13"/>
        <v>0</v>
      </c>
      <c r="O59" s="198">
        <f t="shared" si="13"/>
        <v>0</v>
      </c>
      <c r="P59" s="203">
        <v>0</v>
      </c>
      <c r="Q59" s="105"/>
    </row>
    <row r="60" spans="1:17" s="1" customFormat="1" ht="18" customHeight="1" x14ac:dyDescent="0.2">
      <c r="A60" s="27"/>
      <c r="B60" s="513"/>
      <c r="C60" s="25" t="s">
        <v>4</v>
      </c>
      <c r="D60" s="26" t="s">
        <v>11</v>
      </c>
      <c r="E60" s="183">
        <f t="shared" si="12"/>
        <v>51000</v>
      </c>
      <c r="F60" s="183">
        <f t="shared" si="12"/>
        <v>135000</v>
      </c>
      <c r="G60" s="183">
        <f t="shared" si="12"/>
        <v>135000</v>
      </c>
      <c r="H60" s="195">
        <f>+G60/F60*100</f>
        <v>100</v>
      </c>
      <c r="I60" s="485"/>
      <c r="J60" s="536"/>
      <c r="K60" s="25" t="s">
        <v>4</v>
      </c>
      <c r="L60" s="26" t="s">
        <v>11</v>
      </c>
      <c r="M60" s="183">
        <f t="shared" si="13"/>
        <v>0</v>
      </c>
      <c r="N60" s="183">
        <f t="shared" si="13"/>
        <v>0</v>
      </c>
      <c r="O60" s="183">
        <f t="shared" si="13"/>
        <v>0</v>
      </c>
      <c r="P60" s="184">
        <v>0</v>
      </c>
      <c r="Q60" s="105"/>
    </row>
    <row r="61" spans="1:17" s="9" customFormat="1" ht="30" customHeight="1" thickBot="1" x14ac:dyDescent="0.25">
      <c r="A61" s="540" t="s">
        <v>63</v>
      </c>
      <c r="B61" s="541"/>
      <c r="C61" s="541"/>
      <c r="D61" s="542"/>
      <c r="E61" s="358">
        <f>M57-E57</f>
        <v>244976486</v>
      </c>
      <c r="F61" s="362">
        <f>+N57-F57</f>
        <v>424633636</v>
      </c>
      <c r="G61" s="358">
        <f>+O57-G57</f>
        <v>302399927</v>
      </c>
      <c r="H61" s="358"/>
      <c r="I61" s="540" t="s">
        <v>64</v>
      </c>
      <c r="J61" s="541"/>
      <c r="K61" s="541"/>
      <c r="L61" s="542"/>
      <c r="M61" s="358"/>
      <c r="N61" s="359"/>
      <c r="O61" s="363"/>
      <c r="P61" s="364"/>
      <c r="Q61" s="106"/>
    </row>
    <row r="62" spans="1:17" s="1" customFormat="1" ht="18" customHeight="1" x14ac:dyDescent="0.2">
      <c r="A62" s="58" t="s">
        <v>38</v>
      </c>
      <c r="B62" s="507" t="s">
        <v>36</v>
      </c>
      <c r="C62" s="508"/>
      <c r="D62" s="509"/>
      <c r="E62" s="199">
        <f>E63+E64</f>
        <v>261026563</v>
      </c>
      <c r="F62" s="199">
        <f>F63+F64</f>
        <v>424633636</v>
      </c>
      <c r="G62" s="199">
        <f>G63+G64</f>
        <v>321885462</v>
      </c>
      <c r="H62" s="200">
        <f>+G62/F62*100</f>
        <v>75.80310053440985</v>
      </c>
      <c r="I62" s="58" t="s">
        <v>38</v>
      </c>
      <c r="J62" s="507" t="s">
        <v>48</v>
      </c>
      <c r="K62" s="508"/>
      <c r="L62" s="509"/>
      <c r="M62" s="199">
        <f>+M63+M64</f>
        <v>0</v>
      </c>
      <c r="N62" s="199">
        <f>+N63+N64</f>
        <v>0</v>
      </c>
      <c r="O62" s="199">
        <f>+O63+O64</f>
        <v>0</v>
      </c>
      <c r="P62" s="204">
        <v>0</v>
      </c>
      <c r="Q62" s="105"/>
    </row>
    <row r="63" spans="1:17" s="1" customFormat="1" ht="18" customHeight="1" x14ac:dyDescent="0.2">
      <c r="A63" s="29"/>
      <c r="B63" s="534" t="s">
        <v>65</v>
      </c>
      <c r="C63" s="19" t="s">
        <v>1</v>
      </c>
      <c r="D63" s="20" t="s">
        <v>77</v>
      </c>
      <c r="E63" s="167">
        <v>3200755</v>
      </c>
      <c r="F63" s="168">
        <v>16050077</v>
      </c>
      <c r="G63" s="168">
        <v>16050077</v>
      </c>
      <c r="H63" s="188">
        <f t="shared" ref="H63:H68" si="14">+G63/F63*100</f>
        <v>100</v>
      </c>
      <c r="I63" s="29"/>
      <c r="J63" s="535" t="s">
        <v>60</v>
      </c>
      <c r="K63" s="56" t="s">
        <v>1</v>
      </c>
      <c r="L63" s="57"/>
      <c r="M63" s="205">
        <v>0</v>
      </c>
      <c r="N63" s="206">
        <v>0</v>
      </c>
      <c r="O63" s="206">
        <v>0</v>
      </c>
      <c r="P63" s="207">
        <v>0</v>
      </c>
      <c r="Q63" s="105"/>
    </row>
    <row r="64" spans="1:17" s="1" customFormat="1" ht="18" customHeight="1" x14ac:dyDescent="0.2">
      <c r="A64" s="29"/>
      <c r="B64" s="535"/>
      <c r="C64" s="19" t="s">
        <v>2</v>
      </c>
      <c r="D64" s="20" t="s">
        <v>80</v>
      </c>
      <c r="E64" s="167">
        <v>257825808</v>
      </c>
      <c r="F64" s="168">
        <v>408583559</v>
      </c>
      <c r="G64" s="169">
        <v>305835385</v>
      </c>
      <c r="H64" s="188">
        <f t="shared" si="14"/>
        <v>74.852592147497546</v>
      </c>
      <c r="I64" s="29"/>
      <c r="J64" s="535"/>
      <c r="K64" s="19" t="s">
        <v>2</v>
      </c>
      <c r="L64" s="20"/>
      <c r="M64" s="167">
        <v>0</v>
      </c>
      <c r="N64" s="168">
        <v>0</v>
      </c>
      <c r="O64" s="168">
        <v>0</v>
      </c>
      <c r="P64" s="170">
        <v>0</v>
      </c>
      <c r="Q64" s="105"/>
    </row>
    <row r="65" spans="1:17" s="7" customFormat="1" ht="18" customHeight="1" x14ac:dyDescent="0.2">
      <c r="A65" s="377" t="s">
        <v>39</v>
      </c>
      <c r="B65" s="519" t="s">
        <v>151</v>
      </c>
      <c r="C65" s="520"/>
      <c r="D65" s="521"/>
      <c r="E65" s="378">
        <f>E66+E67+E68</f>
        <v>264006255</v>
      </c>
      <c r="F65" s="378">
        <f>F66+F67+F68</f>
        <v>487569367</v>
      </c>
      <c r="G65" s="378">
        <f>G66+G67+G68</f>
        <v>350925855</v>
      </c>
      <c r="H65" s="381">
        <f>+G65/F65*100</f>
        <v>71.974549418318972</v>
      </c>
      <c r="I65" s="380" t="s">
        <v>39</v>
      </c>
      <c r="J65" s="555" t="s">
        <v>152</v>
      </c>
      <c r="K65" s="556"/>
      <c r="L65" s="557"/>
      <c r="M65" s="378">
        <f>M66+M67+M68</f>
        <v>247956178</v>
      </c>
      <c r="N65" s="378">
        <f>N66+N67+N68</f>
        <v>487569367</v>
      </c>
      <c r="O65" s="378">
        <f>O66+O67+O68</f>
        <v>331440320</v>
      </c>
      <c r="P65" s="379">
        <f t="shared" ref="P65:P66" si="15">+O65/N65*100</f>
        <v>67.978085259814932</v>
      </c>
      <c r="Q65" s="106"/>
    </row>
    <row r="66" spans="1:17" s="7" customFormat="1" ht="18" customHeight="1" x14ac:dyDescent="0.2">
      <c r="A66" s="382"/>
      <c r="B66" s="516" t="s">
        <v>62</v>
      </c>
      <c r="C66" s="383" t="s">
        <v>1</v>
      </c>
      <c r="D66" s="384" t="s">
        <v>10</v>
      </c>
      <c r="E66" s="385">
        <f>E58+E62</f>
        <v>263955255</v>
      </c>
      <c r="F66" s="385">
        <f>F58+F62</f>
        <v>487434367</v>
      </c>
      <c r="G66" s="385">
        <f>G58+G62</f>
        <v>350790855</v>
      </c>
      <c r="H66" s="389">
        <f t="shared" si="14"/>
        <v>71.966787479307953</v>
      </c>
      <c r="I66" s="387"/>
      <c r="J66" s="516" t="s">
        <v>61</v>
      </c>
      <c r="K66" s="383" t="s">
        <v>1</v>
      </c>
      <c r="L66" s="384" t="s">
        <v>10</v>
      </c>
      <c r="M66" s="385">
        <f>M58+M62</f>
        <v>247956178</v>
      </c>
      <c r="N66" s="385">
        <f>N58+N62</f>
        <v>487569367</v>
      </c>
      <c r="O66" s="385">
        <f>O58+O62</f>
        <v>331440320</v>
      </c>
      <c r="P66" s="386">
        <f t="shared" si="15"/>
        <v>67.978085259814932</v>
      </c>
      <c r="Q66" s="106"/>
    </row>
    <row r="67" spans="1:17" s="7" customFormat="1" ht="18" customHeight="1" x14ac:dyDescent="0.2">
      <c r="A67" s="382"/>
      <c r="B67" s="517"/>
      <c r="C67" s="383" t="s">
        <v>2</v>
      </c>
      <c r="D67" s="384" t="s">
        <v>12</v>
      </c>
      <c r="E67" s="385">
        <f t="shared" ref="E67:G68" si="16">E59</f>
        <v>0</v>
      </c>
      <c r="F67" s="385">
        <v>0</v>
      </c>
      <c r="G67" s="385">
        <f t="shared" si="16"/>
        <v>0</v>
      </c>
      <c r="H67" s="389">
        <v>0</v>
      </c>
      <c r="I67" s="387"/>
      <c r="J67" s="517"/>
      <c r="K67" s="383" t="s">
        <v>2</v>
      </c>
      <c r="L67" s="384" t="s">
        <v>12</v>
      </c>
      <c r="M67" s="385">
        <f t="shared" ref="M67:O68" si="17">M59</f>
        <v>0</v>
      </c>
      <c r="N67" s="385">
        <f t="shared" si="17"/>
        <v>0</v>
      </c>
      <c r="O67" s="385">
        <f t="shared" si="17"/>
        <v>0</v>
      </c>
      <c r="P67" s="386">
        <v>0</v>
      </c>
      <c r="Q67" s="106"/>
    </row>
    <row r="68" spans="1:17" s="7" customFormat="1" ht="18" customHeight="1" thickBot="1" x14ac:dyDescent="0.25">
      <c r="A68" s="390"/>
      <c r="B68" s="518"/>
      <c r="C68" s="391" t="s">
        <v>4</v>
      </c>
      <c r="D68" s="392" t="s">
        <v>11</v>
      </c>
      <c r="E68" s="393">
        <f t="shared" si="16"/>
        <v>51000</v>
      </c>
      <c r="F68" s="393">
        <f t="shared" si="16"/>
        <v>135000</v>
      </c>
      <c r="G68" s="393">
        <f t="shared" si="16"/>
        <v>135000</v>
      </c>
      <c r="H68" s="397">
        <f t="shared" si="14"/>
        <v>100</v>
      </c>
      <c r="I68" s="395"/>
      <c r="J68" s="518"/>
      <c r="K68" s="391" t="s">
        <v>4</v>
      </c>
      <c r="L68" s="392" t="s">
        <v>11</v>
      </c>
      <c r="M68" s="393">
        <f t="shared" si="17"/>
        <v>0</v>
      </c>
      <c r="N68" s="393">
        <f t="shared" si="17"/>
        <v>0</v>
      </c>
      <c r="O68" s="393">
        <f t="shared" si="17"/>
        <v>0</v>
      </c>
      <c r="P68" s="394">
        <v>0</v>
      </c>
      <c r="Q68" s="106"/>
    </row>
    <row r="71" spans="1:17" x14ac:dyDescent="0.25">
      <c r="A71" s="3"/>
      <c r="B71" s="3"/>
      <c r="E71" s="3"/>
      <c r="F71" s="15"/>
      <c r="G71" s="15"/>
      <c r="H71" s="15"/>
      <c r="O71" s="15"/>
      <c r="P71" s="61"/>
    </row>
  </sheetData>
  <sheetProtection formatCells="0"/>
  <mergeCells count="77">
    <mergeCell ref="L1:P1"/>
    <mergeCell ref="D8:L8"/>
    <mergeCell ref="A9:H9"/>
    <mergeCell ref="I9:P9"/>
    <mergeCell ref="C10:D10"/>
    <mergeCell ref="K10:L10"/>
    <mergeCell ref="L2:P2"/>
    <mergeCell ref="A11:P11"/>
    <mergeCell ref="B12:D12"/>
    <mergeCell ref="J12:L12"/>
    <mergeCell ref="B13:B16"/>
    <mergeCell ref="C13:D13"/>
    <mergeCell ref="J13:J16"/>
    <mergeCell ref="K13:L13"/>
    <mergeCell ref="B17:B20"/>
    <mergeCell ref="C17:D17"/>
    <mergeCell ref="J17:J20"/>
    <mergeCell ref="K17:L17"/>
    <mergeCell ref="B21:B24"/>
    <mergeCell ref="C21:D21"/>
    <mergeCell ref="J21:J24"/>
    <mergeCell ref="K21:L21"/>
    <mergeCell ref="A37:D37"/>
    <mergeCell ref="I37:L37"/>
    <mergeCell ref="B25:B28"/>
    <mergeCell ref="C25:D25"/>
    <mergeCell ref="J25:J28"/>
    <mergeCell ref="K25:L25"/>
    <mergeCell ref="A29:H32"/>
    <mergeCell ref="J29:J32"/>
    <mergeCell ref="K29:L29"/>
    <mergeCell ref="B33:D33"/>
    <mergeCell ref="J33:L33"/>
    <mergeCell ref="B34:B36"/>
    <mergeCell ref="I34:I36"/>
    <mergeCell ref="J34:J36"/>
    <mergeCell ref="A38:P38"/>
    <mergeCell ref="B39:D39"/>
    <mergeCell ref="J39:L39"/>
    <mergeCell ref="B40:B43"/>
    <mergeCell ref="C40:D40"/>
    <mergeCell ref="J40:J43"/>
    <mergeCell ref="K40:L40"/>
    <mergeCell ref="B44:B47"/>
    <mergeCell ref="C44:D44"/>
    <mergeCell ref="J44:J47"/>
    <mergeCell ref="K44:L44"/>
    <mergeCell ref="B48:B51"/>
    <mergeCell ref="C48:D48"/>
    <mergeCell ref="J48:J51"/>
    <mergeCell ref="K48:L48"/>
    <mergeCell ref="I58:I60"/>
    <mergeCell ref="J58:J60"/>
    <mergeCell ref="A61:D61"/>
    <mergeCell ref="I61:L61"/>
    <mergeCell ref="B52:D52"/>
    <mergeCell ref="J52:L52"/>
    <mergeCell ref="B53:B55"/>
    <mergeCell ref="J53:J55"/>
    <mergeCell ref="A56:D56"/>
    <mergeCell ref="I56:L56"/>
    <mergeCell ref="B66:B68"/>
    <mergeCell ref="J66:J68"/>
    <mergeCell ref="A3:P3"/>
    <mergeCell ref="A4:P4"/>
    <mergeCell ref="A5:P5"/>
    <mergeCell ref="A6:P6"/>
    <mergeCell ref="A7:P7"/>
    <mergeCell ref="B62:D62"/>
    <mergeCell ref="J62:L62"/>
    <mergeCell ref="B63:B64"/>
    <mergeCell ref="J63:J64"/>
    <mergeCell ref="B65:D65"/>
    <mergeCell ref="J65:L65"/>
    <mergeCell ref="B57:D57"/>
    <mergeCell ref="J57:L57"/>
    <mergeCell ref="B58:B60"/>
  </mergeCells>
  <printOptions horizontalCentered="1"/>
  <pageMargins left="0.19685039370078741" right="0.19685039370078741" top="3.937007874015748E-2" bottom="0" header="0.43307086614173229" footer="0.51181102362204722"/>
  <pageSetup paperSize="9" scale="72" orientation="landscape" r:id="rId1"/>
  <headerFooter alignWithMargins="0"/>
  <rowBreaks count="1" manualBreakCount="1">
    <brk id="37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6E824-F1FE-4B90-BB9B-556C8F965F16}">
  <sheetPr>
    <tabColor theme="6" tint="0.59999389629810485"/>
  </sheetPr>
  <dimension ref="A1:N79"/>
  <sheetViews>
    <sheetView topLeftCell="A34" zoomScaleNormal="100" workbookViewId="0">
      <selection activeCell="Q47" sqref="Q47"/>
    </sheetView>
  </sheetViews>
  <sheetFormatPr defaultColWidth="9.140625" defaultRowHeight="15.75" x14ac:dyDescent="0.25"/>
  <cols>
    <col min="1" max="1" width="4.5703125" style="4" customWidth="1"/>
    <col min="2" max="2" width="31.7109375" style="4" customWidth="1"/>
    <col min="3" max="3" width="30" style="4" customWidth="1"/>
    <col min="4" max="4" width="8.7109375" style="4" customWidth="1"/>
    <col min="5" max="7" width="12.7109375" style="4" customWidth="1"/>
    <col min="8" max="8" width="14.7109375" style="4" customWidth="1"/>
    <col min="9" max="9" width="14.140625" style="4" customWidth="1"/>
    <col min="10" max="10" width="12.7109375" style="4" customWidth="1"/>
    <col min="11" max="11" width="14.7109375" style="4" customWidth="1"/>
    <col min="12" max="12" width="11.7109375" style="4" customWidth="1"/>
    <col min="13" max="13" width="11.28515625" style="4" bestFit="1" customWidth="1"/>
    <col min="14" max="16384" width="9.140625" style="4"/>
  </cols>
  <sheetData>
    <row r="1" spans="1:13" x14ac:dyDescent="0.25">
      <c r="F1" s="458" t="s">
        <v>321</v>
      </c>
      <c r="G1" s="458"/>
      <c r="H1" s="458"/>
      <c r="I1" s="458"/>
      <c r="J1" s="458"/>
      <c r="K1" s="458"/>
      <c r="L1" s="458"/>
      <c r="M1" s="225"/>
    </row>
    <row r="2" spans="1:13" x14ac:dyDescent="0.25">
      <c r="A2" s="47"/>
      <c r="B2" s="47"/>
      <c r="C2" s="47"/>
      <c r="D2" s="47"/>
      <c r="E2" s="270"/>
      <c r="F2" s="15"/>
      <c r="G2" s="15"/>
      <c r="H2" s="15"/>
      <c r="I2" s="15"/>
      <c r="J2" s="15"/>
      <c r="K2" s="15"/>
      <c r="L2" s="15"/>
    </row>
    <row r="3" spans="1:13" x14ac:dyDescent="0.25">
      <c r="A3" s="470" t="s">
        <v>357</v>
      </c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0"/>
    </row>
    <row r="4" spans="1:13" x14ac:dyDescent="0.25">
      <c r="A4" s="576" t="s">
        <v>155</v>
      </c>
      <c r="B4" s="576"/>
      <c r="C4" s="576"/>
      <c r="D4" s="576"/>
      <c r="E4" s="576"/>
      <c r="F4" s="576"/>
      <c r="G4" s="576"/>
      <c r="H4" s="576"/>
      <c r="I4" s="576"/>
      <c r="J4" s="576"/>
      <c r="K4" s="576"/>
      <c r="L4" s="576"/>
    </row>
    <row r="5" spans="1:13" s="3" customFormat="1" x14ac:dyDescent="0.25">
      <c r="A5" s="470" t="s">
        <v>287</v>
      </c>
      <c r="B5" s="470"/>
      <c r="C5" s="470"/>
      <c r="D5" s="470"/>
      <c r="E5" s="470"/>
      <c r="F5" s="470"/>
      <c r="G5" s="470"/>
      <c r="H5" s="470"/>
      <c r="I5" s="470"/>
      <c r="J5" s="470"/>
      <c r="K5" s="470"/>
      <c r="L5" s="470"/>
      <c r="M5" s="21"/>
    </row>
    <row r="6" spans="1:13" s="3" customFormat="1" x14ac:dyDescent="0.25">
      <c r="A6" s="433"/>
      <c r="B6" s="433"/>
      <c r="C6" s="433"/>
      <c r="D6" s="433"/>
      <c r="E6" s="433"/>
      <c r="F6" s="433"/>
      <c r="G6" s="433"/>
      <c r="H6" s="433"/>
      <c r="I6" s="433"/>
      <c r="J6" s="433"/>
      <c r="K6" s="433"/>
      <c r="L6" s="433"/>
      <c r="M6" s="21"/>
    </row>
    <row r="7" spans="1:13" ht="16.5" thickBot="1" x14ac:dyDescent="0.3">
      <c r="A7" s="271"/>
      <c r="B7" s="271"/>
      <c r="C7" s="271"/>
      <c r="D7" s="271"/>
      <c r="F7" s="3"/>
      <c r="G7" s="3"/>
      <c r="H7" s="3"/>
      <c r="I7" s="3"/>
      <c r="J7" s="272"/>
      <c r="K7" s="577" t="s">
        <v>252</v>
      </c>
      <c r="L7" s="577"/>
    </row>
    <row r="8" spans="1:13" ht="15.75" customHeight="1" x14ac:dyDescent="0.25">
      <c r="A8" s="562" t="s">
        <v>9</v>
      </c>
      <c r="B8" s="565" t="s">
        <v>96</v>
      </c>
      <c r="C8" s="565"/>
      <c r="D8" s="565"/>
      <c r="E8" s="567" t="s">
        <v>289</v>
      </c>
      <c r="F8" s="567"/>
      <c r="G8" s="567"/>
      <c r="H8" s="567"/>
      <c r="I8" s="567"/>
      <c r="J8" s="567"/>
      <c r="K8" s="567"/>
      <c r="L8" s="568" t="s">
        <v>99</v>
      </c>
    </row>
    <row r="9" spans="1:13" ht="15.75" customHeight="1" x14ac:dyDescent="0.25">
      <c r="A9" s="563"/>
      <c r="B9" s="566"/>
      <c r="C9" s="566"/>
      <c r="D9" s="566"/>
      <c r="E9" s="571" t="s">
        <v>97</v>
      </c>
      <c r="F9" s="571"/>
      <c r="G9" s="571"/>
      <c r="H9" s="571"/>
      <c r="I9" s="571" t="s">
        <v>98</v>
      </c>
      <c r="J9" s="571"/>
      <c r="K9" s="571"/>
      <c r="L9" s="569"/>
    </row>
    <row r="10" spans="1:13" ht="31.5" x14ac:dyDescent="0.25">
      <c r="A10" s="563"/>
      <c r="B10" s="566" t="s">
        <v>100</v>
      </c>
      <c r="C10" s="566" t="s">
        <v>101</v>
      </c>
      <c r="D10" s="573" t="s">
        <v>172</v>
      </c>
      <c r="E10" s="346" t="s">
        <v>102</v>
      </c>
      <c r="F10" s="346" t="s">
        <v>103</v>
      </c>
      <c r="G10" s="347" t="s">
        <v>104</v>
      </c>
      <c r="H10" s="346" t="s">
        <v>105</v>
      </c>
      <c r="I10" s="571" t="s">
        <v>106</v>
      </c>
      <c r="J10" s="571" t="s">
        <v>103</v>
      </c>
      <c r="K10" s="571" t="s">
        <v>105</v>
      </c>
      <c r="L10" s="569"/>
    </row>
    <row r="11" spans="1:13" ht="16.5" thickBot="1" x14ac:dyDescent="0.3">
      <c r="A11" s="564"/>
      <c r="B11" s="572"/>
      <c r="C11" s="572"/>
      <c r="D11" s="574"/>
      <c r="E11" s="575" t="s">
        <v>107</v>
      </c>
      <c r="F11" s="575"/>
      <c r="G11" s="575"/>
      <c r="H11" s="575"/>
      <c r="I11" s="575"/>
      <c r="J11" s="575"/>
      <c r="K11" s="575"/>
      <c r="L11" s="570"/>
    </row>
    <row r="12" spans="1:13" x14ac:dyDescent="0.25">
      <c r="A12" s="582" t="s">
        <v>359</v>
      </c>
      <c r="B12" s="583"/>
      <c r="C12" s="583"/>
      <c r="D12" s="583"/>
      <c r="E12" s="583"/>
      <c r="F12" s="583"/>
      <c r="G12" s="583"/>
      <c r="H12" s="583"/>
      <c r="I12" s="583"/>
      <c r="J12" s="583"/>
      <c r="K12" s="583"/>
      <c r="L12" s="584"/>
    </row>
    <row r="13" spans="1:13" s="91" customFormat="1" x14ac:dyDescent="0.25">
      <c r="A13" s="96" t="s">
        <v>1</v>
      </c>
      <c r="B13" s="83" t="s">
        <v>156</v>
      </c>
      <c r="C13" s="83" t="s">
        <v>157</v>
      </c>
      <c r="D13" s="97">
        <v>0.95</v>
      </c>
      <c r="E13" s="212">
        <f>2507096+297482</f>
        <v>2804578</v>
      </c>
      <c r="F13" s="212">
        <v>0</v>
      </c>
      <c r="G13" s="212">
        <v>294953</v>
      </c>
      <c r="H13" s="212">
        <f t="shared" ref="H13:H23" si="0">SUM(E13:G13)</f>
        <v>3099531</v>
      </c>
      <c r="I13" s="212">
        <f>2949525+349979</f>
        <v>3299504</v>
      </c>
      <c r="J13" s="212">
        <v>0</v>
      </c>
      <c r="K13" s="212">
        <f t="shared" ref="K13:K37" si="1">SUM(I13:J13)</f>
        <v>3299504</v>
      </c>
      <c r="L13" s="273">
        <v>199973</v>
      </c>
    </row>
    <row r="14" spans="1:13" s="91" customFormat="1" x14ac:dyDescent="0.25">
      <c r="A14" s="96" t="s">
        <v>2</v>
      </c>
      <c r="B14" s="83" t="s">
        <v>158</v>
      </c>
      <c r="C14" s="83" t="s">
        <v>159</v>
      </c>
      <c r="D14" s="97">
        <v>0.95</v>
      </c>
      <c r="E14" s="212">
        <f>669271+1625328</f>
        <v>2294599</v>
      </c>
      <c r="F14" s="212">
        <v>0</v>
      </c>
      <c r="G14" s="212">
        <v>78738</v>
      </c>
      <c r="H14" s="212">
        <f t="shared" si="0"/>
        <v>2373337</v>
      </c>
      <c r="I14" s="212">
        <v>787378</v>
      </c>
      <c r="J14" s="212">
        <v>0</v>
      </c>
      <c r="K14" s="212">
        <f t="shared" si="1"/>
        <v>787378</v>
      </c>
      <c r="L14" s="273">
        <v>39369</v>
      </c>
      <c r="M14" s="162"/>
    </row>
    <row r="15" spans="1:13" s="91" customFormat="1" x14ac:dyDescent="0.25">
      <c r="A15" s="96" t="s">
        <v>4</v>
      </c>
      <c r="B15" s="83" t="s">
        <v>175</v>
      </c>
      <c r="C15" s="83" t="s">
        <v>176</v>
      </c>
      <c r="D15" s="97">
        <v>0.95</v>
      </c>
      <c r="E15" s="274">
        <f>13733994+1182253</f>
        <v>14916247</v>
      </c>
      <c r="F15" s="212">
        <v>0</v>
      </c>
      <c r="G15" s="274">
        <v>1615764</v>
      </c>
      <c r="H15" s="274">
        <f t="shared" si="0"/>
        <v>16532011</v>
      </c>
      <c r="I15" s="274">
        <v>16157640</v>
      </c>
      <c r="J15" s="212">
        <v>0</v>
      </c>
      <c r="K15" s="274">
        <f t="shared" si="1"/>
        <v>16157640</v>
      </c>
      <c r="L15" s="275">
        <v>807882</v>
      </c>
      <c r="M15" s="162"/>
    </row>
    <row r="16" spans="1:13" s="91" customFormat="1" x14ac:dyDescent="0.25">
      <c r="A16" s="96" t="s">
        <v>5</v>
      </c>
      <c r="B16" s="83" t="s">
        <v>177</v>
      </c>
      <c r="C16" s="83" t="s">
        <v>178</v>
      </c>
      <c r="D16" s="97">
        <v>0.95</v>
      </c>
      <c r="E16" s="212">
        <v>11717822</v>
      </c>
      <c r="F16" s="212">
        <v>0</v>
      </c>
      <c r="G16" s="212">
        <v>1378567</v>
      </c>
      <c r="H16" s="212">
        <f t="shared" si="0"/>
        <v>13096389</v>
      </c>
      <c r="I16" s="212">
        <v>13785673</v>
      </c>
      <c r="J16" s="212">
        <v>0</v>
      </c>
      <c r="K16" s="212">
        <f t="shared" si="1"/>
        <v>13785673</v>
      </c>
      <c r="L16" s="273">
        <v>689284</v>
      </c>
      <c r="M16" s="162"/>
    </row>
    <row r="17" spans="1:13" s="276" customFormat="1" x14ac:dyDescent="0.25">
      <c r="A17" s="96" t="s">
        <v>7</v>
      </c>
      <c r="B17" s="83" t="s">
        <v>179</v>
      </c>
      <c r="C17" s="83" t="s">
        <v>180</v>
      </c>
      <c r="D17" s="97">
        <v>0.95</v>
      </c>
      <c r="E17" s="212">
        <f>4826130+2414291+19258108</f>
        <v>26498529</v>
      </c>
      <c r="F17" s="212">
        <v>0</v>
      </c>
      <c r="G17" s="268">
        <v>567780</v>
      </c>
      <c r="H17" s="268">
        <f t="shared" si="0"/>
        <v>27066309</v>
      </c>
      <c r="I17" s="268">
        <v>5677800</v>
      </c>
      <c r="J17" s="212">
        <v>0</v>
      </c>
      <c r="K17" s="268">
        <f t="shared" si="1"/>
        <v>5677800</v>
      </c>
      <c r="L17" s="273">
        <v>283890</v>
      </c>
    </row>
    <row r="18" spans="1:13" s="91" customFormat="1" x14ac:dyDescent="0.25">
      <c r="A18" s="49" t="s">
        <v>27</v>
      </c>
      <c r="B18" s="50" t="s">
        <v>181</v>
      </c>
      <c r="C18" s="50" t="s">
        <v>182</v>
      </c>
      <c r="D18" s="51">
        <v>0.95</v>
      </c>
      <c r="E18" s="216">
        <f>14088912+511994-2469250</f>
        <v>12131656</v>
      </c>
      <c r="F18" s="216">
        <v>2469250</v>
      </c>
      <c r="G18" s="278">
        <v>1657519</v>
      </c>
      <c r="H18" s="278">
        <f t="shared" si="0"/>
        <v>16258425</v>
      </c>
      <c r="I18" s="278">
        <f>14575191-302654</f>
        <v>14272537</v>
      </c>
      <c r="J18" s="216">
        <f>2000000+905000</f>
        <v>2905000</v>
      </c>
      <c r="K18" s="278">
        <f>SUM(I18:J18)</f>
        <v>17177537</v>
      </c>
      <c r="L18" s="279">
        <v>919112</v>
      </c>
    </row>
    <row r="19" spans="1:13" s="91" customFormat="1" x14ac:dyDescent="0.25">
      <c r="A19" s="49" t="s">
        <v>81</v>
      </c>
      <c r="B19" s="50" t="s">
        <v>268</v>
      </c>
      <c r="C19" s="50" t="s">
        <v>269</v>
      </c>
      <c r="D19" s="51">
        <v>0.9395</v>
      </c>
      <c r="E19" s="216">
        <f>1878027+2843869</f>
        <v>4721896</v>
      </c>
      <c r="F19" s="216">
        <v>0</v>
      </c>
      <c r="G19" s="278">
        <v>0</v>
      </c>
      <c r="H19" s="278">
        <f t="shared" si="0"/>
        <v>4721896</v>
      </c>
      <c r="I19" s="278">
        <f>1997901+50378</f>
        <v>2048279</v>
      </c>
      <c r="J19" s="278">
        <v>0</v>
      </c>
      <c r="K19" s="278">
        <f>SUM(I19:J19)</f>
        <v>2048279</v>
      </c>
      <c r="L19" s="279">
        <v>119874</v>
      </c>
    </row>
    <row r="20" spans="1:13" s="276" customFormat="1" x14ac:dyDescent="0.25">
      <c r="A20" s="49" t="s">
        <v>82</v>
      </c>
      <c r="B20" s="50" t="s">
        <v>270</v>
      </c>
      <c r="C20" s="50">
        <v>101035163</v>
      </c>
      <c r="D20" s="51">
        <v>0.60099999999999998</v>
      </c>
      <c r="E20" s="216">
        <f>11118800-500000</f>
        <v>10618800</v>
      </c>
      <c r="F20" s="216">
        <v>500000</v>
      </c>
      <c r="G20" s="278">
        <v>0</v>
      </c>
      <c r="H20" s="278">
        <f t="shared" si="0"/>
        <v>11118800</v>
      </c>
      <c r="I20" s="278">
        <f>18500733-500000</f>
        <v>18000733</v>
      </c>
      <c r="J20" s="278">
        <v>500000</v>
      </c>
      <c r="K20" s="278">
        <f>SUM(I20:J20)</f>
        <v>18500733</v>
      </c>
      <c r="L20" s="279">
        <v>7381933</v>
      </c>
    </row>
    <row r="21" spans="1:13" s="276" customFormat="1" x14ac:dyDescent="0.25">
      <c r="A21" s="49" t="s">
        <v>93</v>
      </c>
      <c r="B21" s="50" t="s">
        <v>322</v>
      </c>
      <c r="C21" s="50">
        <v>101074095</v>
      </c>
      <c r="D21" s="51">
        <v>0.9</v>
      </c>
      <c r="E21" s="216">
        <f>6654762+4242582</f>
        <v>10897344</v>
      </c>
      <c r="F21" s="216">
        <v>0</v>
      </c>
      <c r="G21" s="278">
        <v>0</v>
      </c>
      <c r="H21" s="278">
        <f t="shared" si="0"/>
        <v>10897344</v>
      </c>
      <c r="I21" s="278">
        <f>7394180+4242582</f>
        <v>11636762</v>
      </c>
      <c r="J21" s="278">
        <v>0</v>
      </c>
      <c r="K21" s="278">
        <f>SUM(I21:J21)</f>
        <v>11636762</v>
      </c>
      <c r="L21" s="279">
        <v>739418</v>
      </c>
    </row>
    <row r="22" spans="1:13" x14ac:dyDescent="0.25">
      <c r="A22" s="49" t="s">
        <v>131</v>
      </c>
      <c r="B22" s="128" t="s">
        <v>111</v>
      </c>
      <c r="C22" s="129" t="s">
        <v>160</v>
      </c>
      <c r="D22" s="51">
        <v>1</v>
      </c>
      <c r="E22" s="216">
        <f>2413535+1508205</f>
        <v>3921740</v>
      </c>
      <c r="F22" s="216">
        <v>0</v>
      </c>
      <c r="G22" s="278">
        <v>0</v>
      </c>
      <c r="H22" s="216">
        <f t="shared" si="0"/>
        <v>3921740</v>
      </c>
      <c r="I22" s="278">
        <v>2413535</v>
      </c>
      <c r="J22" s="278">
        <v>0</v>
      </c>
      <c r="K22" s="216">
        <f t="shared" si="1"/>
        <v>2413535</v>
      </c>
      <c r="L22" s="279">
        <v>0</v>
      </c>
      <c r="M22" s="8"/>
    </row>
    <row r="23" spans="1:13" x14ac:dyDescent="0.25">
      <c r="A23" s="49" t="s">
        <v>132</v>
      </c>
      <c r="B23" s="128" t="s">
        <v>149</v>
      </c>
      <c r="C23" s="423" t="s">
        <v>161</v>
      </c>
      <c r="D23" s="51">
        <v>1</v>
      </c>
      <c r="E23" s="216">
        <v>0</v>
      </c>
      <c r="F23" s="216">
        <v>0</v>
      </c>
      <c r="G23" s="278">
        <v>170533037</v>
      </c>
      <c r="H23" s="216">
        <f t="shared" si="0"/>
        <v>170533037</v>
      </c>
      <c r="I23" s="278">
        <v>48596283</v>
      </c>
      <c r="J23" s="216">
        <v>121936754</v>
      </c>
      <c r="K23" s="216">
        <f t="shared" si="1"/>
        <v>170533037</v>
      </c>
      <c r="L23" s="279">
        <f t="shared" ref="L23:L37" si="2">K23-H23</f>
        <v>0</v>
      </c>
      <c r="M23" s="8"/>
    </row>
    <row r="24" spans="1:13" x14ac:dyDescent="0.25">
      <c r="A24" s="49" t="s">
        <v>136</v>
      </c>
      <c r="B24" s="128" t="s">
        <v>183</v>
      </c>
      <c r="C24" s="129" t="s">
        <v>184</v>
      </c>
      <c r="D24" s="51">
        <v>1</v>
      </c>
      <c r="E24" s="216">
        <v>370719560</v>
      </c>
      <c r="F24" s="216">
        <v>0</v>
      </c>
      <c r="G24" s="278">
        <v>304217826</v>
      </c>
      <c r="H24" s="278">
        <f t="shared" ref="H24:H37" si="3">SUM(E24:G24)</f>
        <v>674937386</v>
      </c>
      <c r="I24" s="278">
        <v>581253858</v>
      </c>
      <c r="J24" s="278">
        <v>93683528</v>
      </c>
      <c r="K24" s="278">
        <f t="shared" si="1"/>
        <v>674937386</v>
      </c>
      <c r="L24" s="279">
        <f t="shared" si="2"/>
        <v>0</v>
      </c>
      <c r="M24" s="8"/>
    </row>
    <row r="25" spans="1:13" x14ac:dyDescent="0.25">
      <c r="A25" s="49" t="s">
        <v>154</v>
      </c>
      <c r="B25" s="128" t="s">
        <v>271</v>
      </c>
      <c r="C25" s="129" t="s">
        <v>272</v>
      </c>
      <c r="D25" s="51">
        <v>1</v>
      </c>
      <c r="E25" s="216">
        <f>6232150</f>
        <v>6232150</v>
      </c>
      <c r="F25" s="216">
        <v>0</v>
      </c>
      <c r="G25" s="278">
        <v>48119772</v>
      </c>
      <c r="H25" s="278">
        <f t="shared" si="3"/>
        <v>54351922</v>
      </c>
      <c r="I25" s="278">
        <v>6209772</v>
      </c>
      <c r="J25" s="278">
        <f>41910000+6232150</f>
        <v>48142150</v>
      </c>
      <c r="K25" s="278">
        <f t="shared" si="1"/>
        <v>54351922</v>
      </c>
      <c r="L25" s="279">
        <f t="shared" si="2"/>
        <v>0</v>
      </c>
      <c r="M25" s="8"/>
    </row>
    <row r="26" spans="1:13" x14ac:dyDescent="0.25">
      <c r="A26" s="49" t="s">
        <v>162</v>
      </c>
      <c r="B26" s="128" t="s">
        <v>323</v>
      </c>
      <c r="C26" s="424" t="s">
        <v>324</v>
      </c>
      <c r="D26" s="51">
        <v>1</v>
      </c>
      <c r="E26" s="216">
        <f>106831282+27483222</f>
        <v>134314504</v>
      </c>
      <c r="F26" s="216">
        <f>27483222-27483222</f>
        <v>0</v>
      </c>
      <c r="G26" s="278">
        <v>0</v>
      </c>
      <c r="H26" s="216">
        <f t="shared" si="3"/>
        <v>134314504</v>
      </c>
      <c r="I26" s="278">
        <v>106831282</v>
      </c>
      <c r="J26" s="278">
        <v>27483222</v>
      </c>
      <c r="K26" s="216">
        <f>SUM(I26:J26)</f>
        <v>134314504</v>
      </c>
      <c r="L26" s="279">
        <f>K26-H26</f>
        <v>0</v>
      </c>
      <c r="M26" s="8"/>
    </row>
    <row r="27" spans="1:13" ht="15.75" customHeight="1" x14ac:dyDescent="0.25">
      <c r="A27" s="49" t="s">
        <v>165</v>
      </c>
      <c r="B27" s="425" t="s">
        <v>325</v>
      </c>
      <c r="C27" s="129" t="s">
        <v>326</v>
      </c>
      <c r="D27" s="51">
        <v>1</v>
      </c>
      <c r="E27" s="216">
        <v>90000000</v>
      </c>
      <c r="F27" s="216">
        <v>10000000</v>
      </c>
      <c r="G27" s="278">
        <v>0</v>
      </c>
      <c r="H27" s="216">
        <f t="shared" si="3"/>
        <v>100000000</v>
      </c>
      <c r="I27" s="278">
        <v>90000000</v>
      </c>
      <c r="J27" s="278">
        <v>10000000</v>
      </c>
      <c r="K27" s="216">
        <f>SUM(I27:J27)</f>
        <v>100000000</v>
      </c>
      <c r="L27" s="279">
        <f>K27-H27</f>
        <v>0</v>
      </c>
      <c r="M27" s="8"/>
    </row>
    <row r="28" spans="1:13" x14ac:dyDescent="0.25">
      <c r="A28" s="49" t="s">
        <v>166</v>
      </c>
      <c r="B28" s="128" t="s">
        <v>163</v>
      </c>
      <c r="C28" s="129" t="s">
        <v>164</v>
      </c>
      <c r="D28" s="51">
        <v>1</v>
      </c>
      <c r="E28" s="216">
        <f>30621+642383</f>
        <v>673004</v>
      </c>
      <c r="F28" s="216">
        <v>0</v>
      </c>
      <c r="G28" s="278">
        <v>0</v>
      </c>
      <c r="H28" s="278">
        <f t="shared" si="3"/>
        <v>673004</v>
      </c>
      <c r="I28" s="278">
        <v>122000</v>
      </c>
      <c r="J28" s="216">
        <v>0</v>
      </c>
      <c r="K28" s="278">
        <f t="shared" si="1"/>
        <v>122000</v>
      </c>
      <c r="L28" s="279">
        <v>0</v>
      </c>
      <c r="M28" s="8"/>
    </row>
    <row r="29" spans="1:13" x14ac:dyDescent="0.25">
      <c r="A29" s="49" t="s">
        <v>169</v>
      </c>
      <c r="B29" s="128" t="s">
        <v>167</v>
      </c>
      <c r="C29" s="129" t="s">
        <v>168</v>
      </c>
      <c r="D29" s="51">
        <v>1</v>
      </c>
      <c r="E29" s="216">
        <f>122000+1470724</f>
        <v>1592724</v>
      </c>
      <c r="F29" s="216">
        <v>0</v>
      </c>
      <c r="G29" s="278">
        <v>0</v>
      </c>
      <c r="H29" s="278">
        <f t="shared" si="3"/>
        <v>1592724</v>
      </c>
      <c r="I29" s="278">
        <v>30621</v>
      </c>
      <c r="J29" s="278">
        <v>0</v>
      </c>
      <c r="K29" s="278">
        <f t="shared" si="1"/>
        <v>30621</v>
      </c>
      <c r="L29" s="279">
        <v>0</v>
      </c>
      <c r="M29" s="8"/>
    </row>
    <row r="30" spans="1:13" x14ac:dyDescent="0.25">
      <c r="A30" s="96" t="s">
        <v>170</v>
      </c>
      <c r="B30" s="227" t="s">
        <v>189</v>
      </c>
      <c r="C30" s="277" t="s">
        <v>190</v>
      </c>
      <c r="D30" s="97">
        <v>1</v>
      </c>
      <c r="E30" s="212">
        <v>4838032</v>
      </c>
      <c r="F30" s="212">
        <v>0</v>
      </c>
      <c r="G30" s="268">
        <v>2660891</v>
      </c>
      <c r="H30" s="278">
        <f t="shared" si="3"/>
        <v>7498923</v>
      </c>
      <c r="I30" s="268">
        <v>7498923</v>
      </c>
      <c r="J30" s="216">
        <v>0</v>
      </c>
      <c r="K30" s="278">
        <f t="shared" si="1"/>
        <v>7498923</v>
      </c>
      <c r="L30" s="273">
        <f t="shared" si="2"/>
        <v>0</v>
      </c>
      <c r="M30" s="8"/>
    </row>
    <row r="31" spans="1:13" x14ac:dyDescent="0.25">
      <c r="A31" s="96" t="s">
        <v>185</v>
      </c>
      <c r="B31" s="227" t="s">
        <v>192</v>
      </c>
      <c r="C31" s="277" t="s">
        <v>193</v>
      </c>
      <c r="D31" s="97">
        <v>1</v>
      </c>
      <c r="E31" s="212">
        <v>13883500</v>
      </c>
      <c r="F31" s="212">
        <v>0</v>
      </c>
      <c r="G31" s="268">
        <v>1989777</v>
      </c>
      <c r="H31" s="216">
        <f t="shared" si="3"/>
        <v>15873277</v>
      </c>
      <c r="I31" s="268">
        <v>15873277</v>
      </c>
      <c r="J31" s="216">
        <v>0</v>
      </c>
      <c r="K31" s="216">
        <f t="shared" si="1"/>
        <v>15873277</v>
      </c>
      <c r="L31" s="273">
        <f t="shared" si="2"/>
        <v>0</v>
      </c>
      <c r="M31" s="8"/>
    </row>
    <row r="32" spans="1:13" x14ac:dyDescent="0.25">
      <c r="A32" s="96" t="s">
        <v>186</v>
      </c>
      <c r="B32" s="227" t="s">
        <v>195</v>
      </c>
      <c r="C32" s="277" t="s">
        <v>196</v>
      </c>
      <c r="D32" s="97">
        <v>1</v>
      </c>
      <c r="E32" s="212">
        <v>20534778</v>
      </c>
      <c r="F32" s="212">
        <v>0</v>
      </c>
      <c r="G32" s="268">
        <v>9431011</v>
      </c>
      <c r="H32" s="216">
        <f t="shared" si="3"/>
        <v>29965789</v>
      </c>
      <c r="I32" s="268">
        <v>29965789</v>
      </c>
      <c r="J32" s="216">
        <v>0</v>
      </c>
      <c r="K32" s="216">
        <f t="shared" si="1"/>
        <v>29965789</v>
      </c>
      <c r="L32" s="273">
        <f t="shared" si="2"/>
        <v>0</v>
      </c>
    </row>
    <row r="33" spans="1:12" x14ac:dyDescent="0.25">
      <c r="A33" s="96" t="s">
        <v>187</v>
      </c>
      <c r="B33" s="227" t="s">
        <v>198</v>
      </c>
      <c r="C33" s="277" t="s">
        <v>199</v>
      </c>
      <c r="D33" s="97">
        <v>1</v>
      </c>
      <c r="E33" s="212">
        <v>20975000</v>
      </c>
      <c r="F33" s="212">
        <v>0</v>
      </c>
      <c r="G33" s="268">
        <v>8741100</v>
      </c>
      <c r="H33" s="278">
        <f t="shared" si="3"/>
        <v>29716100</v>
      </c>
      <c r="I33" s="268">
        <v>29716100</v>
      </c>
      <c r="J33" s="216">
        <v>0</v>
      </c>
      <c r="K33" s="278">
        <f t="shared" si="1"/>
        <v>29716100</v>
      </c>
      <c r="L33" s="273">
        <f t="shared" si="2"/>
        <v>0</v>
      </c>
    </row>
    <row r="34" spans="1:12" x14ac:dyDescent="0.25">
      <c r="A34" s="96" t="s">
        <v>188</v>
      </c>
      <c r="B34" s="227" t="s">
        <v>201</v>
      </c>
      <c r="C34" s="277" t="s">
        <v>202</v>
      </c>
      <c r="D34" s="97">
        <v>1</v>
      </c>
      <c r="E34" s="212">
        <v>5914308</v>
      </c>
      <c r="F34" s="212">
        <v>0</v>
      </c>
      <c r="G34" s="268">
        <v>8858595</v>
      </c>
      <c r="H34" s="278">
        <f t="shared" si="3"/>
        <v>14772903</v>
      </c>
      <c r="I34" s="268">
        <v>14772903</v>
      </c>
      <c r="J34" s="278">
        <v>0</v>
      </c>
      <c r="K34" s="278">
        <f t="shared" si="1"/>
        <v>14772903</v>
      </c>
      <c r="L34" s="273">
        <f t="shared" si="2"/>
        <v>0</v>
      </c>
    </row>
    <row r="35" spans="1:12" x14ac:dyDescent="0.25">
      <c r="A35" s="96" t="s">
        <v>191</v>
      </c>
      <c r="B35" s="227" t="s">
        <v>204</v>
      </c>
      <c r="C35" s="277" t="s">
        <v>205</v>
      </c>
      <c r="D35" s="97">
        <v>1</v>
      </c>
      <c r="E35" s="212">
        <v>10600000</v>
      </c>
      <c r="F35" s="212">
        <v>0</v>
      </c>
      <c r="G35" s="268">
        <v>1004892</v>
      </c>
      <c r="H35" s="278">
        <f t="shared" si="3"/>
        <v>11604892</v>
      </c>
      <c r="I35" s="268">
        <v>11604892</v>
      </c>
      <c r="J35" s="216">
        <v>0</v>
      </c>
      <c r="K35" s="278">
        <f t="shared" si="1"/>
        <v>11604892</v>
      </c>
      <c r="L35" s="273">
        <f t="shared" si="2"/>
        <v>0</v>
      </c>
    </row>
    <row r="36" spans="1:12" x14ac:dyDescent="0.25">
      <c r="A36" s="96" t="s">
        <v>194</v>
      </c>
      <c r="B36" s="227" t="s">
        <v>207</v>
      </c>
      <c r="C36" s="277" t="s">
        <v>208</v>
      </c>
      <c r="D36" s="97">
        <v>1</v>
      </c>
      <c r="E36" s="212">
        <v>15890588</v>
      </c>
      <c r="F36" s="212">
        <v>0</v>
      </c>
      <c r="G36" s="268">
        <v>6568570</v>
      </c>
      <c r="H36" s="278">
        <f t="shared" si="3"/>
        <v>22459158</v>
      </c>
      <c r="I36" s="268">
        <v>22459158</v>
      </c>
      <c r="J36" s="216">
        <v>0</v>
      </c>
      <c r="K36" s="278">
        <f t="shared" si="1"/>
        <v>22459158</v>
      </c>
      <c r="L36" s="273">
        <f t="shared" si="2"/>
        <v>0</v>
      </c>
    </row>
    <row r="37" spans="1:12" x14ac:dyDescent="0.25">
      <c r="A37" s="96" t="s">
        <v>197</v>
      </c>
      <c r="B37" s="227" t="s">
        <v>211</v>
      </c>
      <c r="C37" s="277" t="s">
        <v>212</v>
      </c>
      <c r="D37" s="97">
        <v>1</v>
      </c>
      <c r="E37" s="212">
        <v>21954165</v>
      </c>
      <c r="F37" s="216">
        <v>0</v>
      </c>
      <c r="G37" s="268">
        <v>225894</v>
      </c>
      <c r="H37" s="278">
        <f t="shared" si="3"/>
        <v>22180059</v>
      </c>
      <c r="I37" s="268">
        <v>22180059</v>
      </c>
      <c r="J37" s="278">
        <v>0</v>
      </c>
      <c r="K37" s="278">
        <f t="shared" si="1"/>
        <v>22180059</v>
      </c>
      <c r="L37" s="273">
        <f t="shared" si="2"/>
        <v>0</v>
      </c>
    </row>
    <row r="38" spans="1:12" ht="16.5" thickBot="1" x14ac:dyDescent="0.3">
      <c r="A38" s="586" t="s">
        <v>360</v>
      </c>
      <c r="B38" s="587"/>
      <c r="C38" s="587"/>
      <c r="D38" s="587"/>
      <c r="E38" s="294">
        <f t="shared" ref="E38:L38" si="4">SUM(E13:E37)</f>
        <v>818645524</v>
      </c>
      <c r="F38" s="294">
        <f>SUM(F13:F37)</f>
        <v>12969250</v>
      </c>
      <c r="G38" s="294">
        <f t="shared" si="4"/>
        <v>567944686</v>
      </c>
      <c r="H38" s="294">
        <f t="shared" si="4"/>
        <v>1399559460</v>
      </c>
      <c r="I38" s="294">
        <f t="shared" si="4"/>
        <v>1075194758</v>
      </c>
      <c r="J38" s="294">
        <f t="shared" si="4"/>
        <v>304650654</v>
      </c>
      <c r="K38" s="294">
        <f t="shared" si="4"/>
        <v>1379845412</v>
      </c>
      <c r="L38" s="343">
        <f t="shared" si="4"/>
        <v>11180735</v>
      </c>
    </row>
    <row r="39" spans="1:12" x14ac:dyDescent="0.25">
      <c r="A39" s="588" t="s">
        <v>361</v>
      </c>
      <c r="B39" s="589"/>
      <c r="C39" s="589"/>
      <c r="D39" s="589"/>
      <c r="E39" s="589"/>
      <c r="F39" s="589"/>
      <c r="G39" s="589"/>
      <c r="H39" s="589"/>
      <c r="I39" s="589"/>
      <c r="J39" s="589"/>
      <c r="K39" s="589"/>
      <c r="L39" s="590"/>
    </row>
    <row r="40" spans="1:12" x14ac:dyDescent="0.25">
      <c r="A40" s="49" t="s">
        <v>1</v>
      </c>
      <c r="B40" s="129" t="s">
        <v>111</v>
      </c>
      <c r="C40" s="130" t="s">
        <v>160</v>
      </c>
      <c r="D40" s="51">
        <v>1</v>
      </c>
      <c r="E40" s="118">
        <f>3939167+2644270+33900000</f>
        <v>40483437</v>
      </c>
      <c r="F40" s="118">
        <v>0</v>
      </c>
      <c r="G40" s="118">
        <v>0</v>
      </c>
      <c r="H40" s="118">
        <f>E40+F40+G40</f>
        <v>40483437</v>
      </c>
      <c r="I40" s="118">
        <f>3939167+33900000</f>
        <v>37839167</v>
      </c>
      <c r="J40" s="118">
        <v>0</v>
      </c>
      <c r="K40" s="118">
        <f>I40+J40</f>
        <v>37839167</v>
      </c>
      <c r="L40" s="125">
        <v>0</v>
      </c>
    </row>
    <row r="41" spans="1:12" ht="16.5" thickBot="1" x14ac:dyDescent="0.3">
      <c r="A41" s="591" t="s">
        <v>362</v>
      </c>
      <c r="B41" s="592"/>
      <c r="C41" s="592"/>
      <c r="D41" s="592"/>
      <c r="E41" s="344">
        <f>SUM(E40)</f>
        <v>40483437</v>
      </c>
      <c r="F41" s="344">
        <f t="shared" ref="F41:L41" si="5">SUM(F40)</f>
        <v>0</v>
      </c>
      <c r="G41" s="344">
        <f t="shared" si="5"/>
        <v>0</v>
      </c>
      <c r="H41" s="344">
        <f t="shared" si="5"/>
        <v>40483437</v>
      </c>
      <c r="I41" s="344">
        <f t="shared" si="5"/>
        <v>37839167</v>
      </c>
      <c r="J41" s="344">
        <f t="shared" si="5"/>
        <v>0</v>
      </c>
      <c r="K41" s="344">
        <f t="shared" si="5"/>
        <v>37839167</v>
      </c>
      <c r="L41" s="345">
        <f t="shared" si="5"/>
        <v>0</v>
      </c>
    </row>
    <row r="42" spans="1:12" ht="16.5" thickBot="1" x14ac:dyDescent="0.3">
      <c r="A42" s="593" t="s">
        <v>109</v>
      </c>
      <c r="B42" s="594"/>
      <c r="C42" s="594"/>
      <c r="D42" s="594"/>
      <c r="E42" s="426">
        <f t="shared" ref="E42:L42" si="6">E38+E41</f>
        <v>859128961</v>
      </c>
      <c r="F42" s="426">
        <f t="shared" si="6"/>
        <v>12969250</v>
      </c>
      <c r="G42" s="426">
        <f t="shared" si="6"/>
        <v>567944686</v>
      </c>
      <c r="H42" s="426">
        <f t="shared" si="6"/>
        <v>1440042897</v>
      </c>
      <c r="I42" s="426">
        <f t="shared" si="6"/>
        <v>1113033925</v>
      </c>
      <c r="J42" s="426">
        <f t="shared" si="6"/>
        <v>304650654</v>
      </c>
      <c r="K42" s="426">
        <f t="shared" si="6"/>
        <v>1417684579</v>
      </c>
      <c r="L42" s="427">
        <f t="shared" si="6"/>
        <v>11180735</v>
      </c>
    </row>
    <row r="44" spans="1:12" ht="16.5" thickBot="1" x14ac:dyDescent="0.3">
      <c r="A44" s="46"/>
      <c r="B44" s="46"/>
      <c r="C44" s="46"/>
      <c r="D44" s="46"/>
      <c r="F44" s="3"/>
      <c r="G44" s="3"/>
      <c r="H44" s="3"/>
      <c r="I44" s="3"/>
      <c r="J44" s="272"/>
      <c r="K44" s="585" t="s">
        <v>252</v>
      </c>
      <c r="L44" s="585"/>
    </row>
    <row r="45" spans="1:12" x14ac:dyDescent="0.25">
      <c r="A45" s="598" t="s">
        <v>9</v>
      </c>
      <c r="B45" s="601" t="s">
        <v>96</v>
      </c>
      <c r="C45" s="602"/>
      <c r="D45" s="603"/>
      <c r="E45" s="607" t="s">
        <v>290</v>
      </c>
      <c r="F45" s="608"/>
      <c r="G45" s="608"/>
      <c r="H45" s="608"/>
      <c r="I45" s="608"/>
      <c r="J45" s="608"/>
      <c r="K45" s="609"/>
      <c r="L45" s="610" t="s">
        <v>99</v>
      </c>
    </row>
    <row r="46" spans="1:12" x14ac:dyDescent="0.25">
      <c r="A46" s="599"/>
      <c r="B46" s="604"/>
      <c r="C46" s="605"/>
      <c r="D46" s="606"/>
      <c r="E46" s="613" t="s">
        <v>97</v>
      </c>
      <c r="F46" s="614"/>
      <c r="G46" s="614"/>
      <c r="H46" s="615"/>
      <c r="I46" s="613" t="s">
        <v>98</v>
      </c>
      <c r="J46" s="614"/>
      <c r="K46" s="615"/>
      <c r="L46" s="611"/>
    </row>
    <row r="47" spans="1:12" ht="31.5" x14ac:dyDescent="0.25">
      <c r="A47" s="599"/>
      <c r="B47" s="616" t="s">
        <v>100</v>
      </c>
      <c r="C47" s="616" t="s">
        <v>101</v>
      </c>
      <c r="D47" s="578" t="s">
        <v>172</v>
      </c>
      <c r="E47" s="346" t="s">
        <v>102</v>
      </c>
      <c r="F47" s="346" t="s">
        <v>103</v>
      </c>
      <c r="G47" s="347" t="s">
        <v>104</v>
      </c>
      <c r="H47" s="346" t="s">
        <v>105</v>
      </c>
      <c r="I47" s="580" t="s">
        <v>106</v>
      </c>
      <c r="J47" s="580" t="s">
        <v>103</v>
      </c>
      <c r="K47" s="580" t="s">
        <v>105</v>
      </c>
      <c r="L47" s="611"/>
    </row>
    <row r="48" spans="1:12" ht="16.5" thickBot="1" x14ac:dyDescent="0.3">
      <c r="A48" s="600"/>
      <c r="B48" s="617"/>
      <c r="C48" s="617"/>
      <c r="D48" s="579"/>
      <c r="E48" s="595" t="s">
        <v>107</v>
      </c>
      <c r="F48" s="596"/>
      <c r="G48" s="596"/>
      <c r="H48" s="597"/>
      <c r="I48" s="581"/>
      <c r="J48" s="581"/>
      <c r="K48" s="581"/>
      <c r="L48" s="612"/>
    </row>
    <row r="49" spans="1:14" x14ac:dyDescent="0.25">
      <c r="A49" s="582" t="s">
        <v>359</v>
      </c>
      <c r="B49" s="583"/>
      <c r="C49" s="583"/>
      <c r="D49" s="583"/>
      <c r="E49" s="583"/>
      <c r="F49" s="583"/>
      <c r="G49" s="583"/>
      <c r="H49" s="583"/>
      <c r="I49" s="583"/>
      <c r="J49" s="583"/>
      <c r="K49" s="583"/>
      <c r="L49" s="584"/>
    </row>
    <row r="50" spans="1:14" s="91" customFormat="1" x14ac:dyDescent="0.25">
      <c r="A50" s="96" t="s">
        <v>1</v>
      </c>
      <c r="B50" s="83" t="s">
        <v>156</v>
      </c>
      <c r="C50" s="83" t="s">
        <v>157</v>
      </c>
      <c r="D50" s="97">
        <v>0.95</v>
      </c>
      <c r="E50" s="212">
        <v>1927300</v>
      </c>
      <c r="F50" s="212">
        <v>0</v>
      </c>
      <c r="G50" s="212">
        <v>294953</v>
      </c>
      <c r="H50" s="216">
        <f t="shared" ref="H50:H60" si="7">SUM(E50:G50)</f>
        <v>2222253</v>
      </c>
      <c r="I50" s="212">
        <v>3281258</v>
      </c>
      <c r="J50" s="212">
        <v>0</v>
      </c>
      <c r="K50" s="212">
        <f t="shared" ref="K50:K54" si="8">SUM(I50:J50)</f>
        <v>3281258</v>
      </c>
      <c r="L50" s="273">
        <v>164063</v>
      </c>
      <c r="M50" s="162"/>
    </row>
    <row r="51" spans="1:14" s="91" customFormat="1" x14ac:dyDescent="0.25">
      <c r="A51" s="96" t="s">
        <v>2</v>
      </c>
      <c r="B51" s="83" t="s">
        <v>158</v>
      </c>
      <c r="C51" s="83" t="s">
        <v>159</v>
      </c>
      <c r="D51" s="97">
        <v>0.95</v>
      </c>
      <c r="E51" s="212">
        <v>2294599</v>
      </c>
      <c r="F51" s="212">
        <v>0</v>
      </c>
      <c r="G51" s="212">
        <v>78738</v>
      </c>
      <c r="H51" s="216">
        <f t="shared" si="7"/>
        <v>2373337</v>
      </c>
      <c r="I51" s="212">
        <v>787380</v>
      </c>
      <c r="J51" s="212">
        <v>0</v>
      </c>
      <c r="K51" s="212">
        <f t="shared" si="8"/>
        <v>787380</v>
      </c>
      <c r="L51" s="273">
        <v>39369</v>
      </c>
      <c r="M51" s="162"/>
    </row>
    <row r="52" spans="1:14" s="91" customFormat="1" x14ac:dyDescent="0.25">
      <c r="A52" s="96" t="s">
        <v>4</v>
      </c>
      <c r="B52" s="83" t="s">
        <v>175</v>
      </c>
      <c r="C52" s="83" t="s">
        <v>176</v>
      </c>
      <c r="D52" s="97">
        <v>0.95</v>
      </c>
      <c r="E52" s="212">
        <v>14916247</v>
      </c>
      <c r="F52" s="212">
        <v>0</v>
      </c>
      <c r="G52" s="274">
        <v>1615764</v>
      </c>
      <c r="H52" s="213">
        <f t="shared" si="7"/>
        <v>16532011</v>
      </c>
      <c r="I52" s="212">
        <v>10404022</v>
      </c>
      <c r="J52" s="212">
        <v>0</v>
      </c>
      <c r="K52" s="274">
        <f t="shared" si="8"/>
        <v>10404022</v>
      </c>
      <c r="L52" s="273">
        <v>520201</v>
      </c>
      <c r="M52" s="162"/>
    </row>
    <row r="53" spans="1:14" s="91" customFormat="1" x14ac:dyDescent="0.25">
      <c r="A53" s="96" t="s">
        <v>5</v>
      </c>
      <c r="B53" s="83" t="s">
        <v>177</v>
      </c>
      <c r="C53" s="83" t="s">
        <v>178</v>
      </c>
      <c r="D53" s="97">
        <v>0.95</v>
      </c>
      <c r="E53" s="212">
        <v>6642565</v>
      </c>
      <c r="F53" s="212">
        <v>0</v>
      </c>
      <c r="G53" s="212">
        <v>1378567</v>
      </c>
      <c r="H53" s="216">
        <f t="shared" si="7"/>
        <v>8021132</v>
      </c>
      <c r="I53" s="212">
        <v>10251779</v>
      </c>
      <c r="J53" s="212">
        <v>0</v>
      </c>
      <c r="K53" s="212">
        <f t="shared" si="8"/>
        <v>10251779</v>
      </c>
      <c r="L53" s="273">
        <v>512589</v>
      </c>
      <c r="M53" s="162"/>
    </row>
    <row r="54" spans="1:14" s="276" customFormat="1" x14ac:dyDescent="0.25">
      <c r="A54" s="96" t="s">
        <v>7</v>
      </c>
      <c r="B54" s="83" t="s">
        <v>179</v>
      </c>
      <c r="C54" s="83" t="s">
        <v>180</v>
      </c>
      <c r="D54" s="97">
        <v>0.95</v>
      </c>
      <c r="E54" s="212">
        <v>26498529</v>
      </c>
      <c r="F54" s="212">
        <v>0</v>
      </c>
      <c r="G54" s="268">
        <v>567780</v>
      </c>
      <c r="H54" s="278">
        <f t="shared" si="7"/>
        <v>27066309</v>
      </c>
      <c r="I54" s="212">
        <v>4424602</v>
      </c>
      <c r="J54" s="212">
        <v>0</v>
      </c>
      <c r="K54" s="268">
        <f t="shared" si="8"/>
        <v>4424602</v>
      </c>
      <c r="L54" s="273">
        <v>221230</v>
      </c>
      <c r="M54" s="162"/>
    </row>
    <row r="55" spans="1:14" s="91" customFormat="1" x14ac:dyDescent="0.25">
      <c r="A55" s="49" t="s">
        <v>27</v>
      </c>
      <c r="B55" s="50" t="s">
        <v>181</v>
      </c>
      <c r="C55" s="50" t="s">
        <v>182</v>
      </c>
      <c r="D55" s="51">
        <v>0.95</v>
      </c>
      <c r="E55" s="212">
        <v>9277367</v>
      </c>
      <c r="F55" s="212">
        <v>0</v>
      </c>
      <c r="G55" s="278">
        <v>1657519</v>
      </c>
      <c r="H55" s="278">
        <f t="shared" si="7"/>
        <v>10934886</v>
      </c>
      <c r="I55" s="212">
        <v>14266559</v>
      </c>
      <c r="J55" s="212">
        <v>2905000</v>
      </c>
      <c r="K55" s="278">
        <f>SUM(I55:J55)</f>
        <v>17171559</v>
      </c>
      <c r="L55" s="279">
        <v>858578</v>
      </c>
      <c r="M55" s="162"/>
    </row>
    <row r="56" spans="1:14" s="91" customFormat="1" x14ac:dyDescent="0.25">
      <c r="A56" s="49" t="s">
        <v>81</v>
      </c>
      <c r="B56" s="50" t="s">
        <v>268</v>
      </c>
      <c r="C56" s="50" t="s">
        <v>269</v>
      </c>
      <c r="D56" s="51">
        <v>0.9395</v>
      </c>
      <c r="E56" s="212">
        <v>4721896</v>
      </c>
      <c r="F56" s="212">
        <v>0</v>
      </c>
      <c r="G56" s="278">
        <v>0</v>
      </c>
      <c r="H56" s="278">
        <f t="shared" si="7"/>
        <v>4721896</v>
      </c>
      <c r="I56" s="212">
        <v>2048279</v>
      </c>
      <c r="J56" s="212">
        <v>0</v>
      </c>
      <c r="K56" s="278">
        <f>SUM(I56:J56)</f>
        <v>2048279</v>
      </c>
      <c r="L56" s="279">
        <v>122897</v>
      </c>
      <c r="M56" s="162"/>
    </row>
    <row r="57" spans="1:14" s="276" customFormat="1" x14ac:dyDescent="0.25">
      <c r="A57" s="49" t="s">
        <v>82</v>
      </c>
      <c r="B57" s="50" t="s">
        <v>270</v>
      </c>
      <c r="C57" s="50">
        <v>101035163</v>
      </c>
      <c r="D57" s="51">
        <v>0.60099999999999998</v>
      </c>
      <c r="E57" s="212">
        <v>10509329</v>
      </c>
      <c r="F57" s="212">
        <v>0</v>
      </c>
      <c r="G57" s="278">
        <v>0</v>
      </c>
      <c r="H57" s="278">
        <f t="shared" si="7"/>
        <v>10509329</v>
      </c>
      <c r="I57" s="212">
        <v>13213521</v>
      </c>
      <c r="J57" s="212">
        <v>17980</v>
      </c>
      <c r="K57" s="278">
        <f>SUM(I57:J57)</f>
        <v>13231501</v>
      </c>
      <c r="L57" s="279">
        <v>5279369</v>
      </c>
      <c r="M57" s="162"/>
      <c r="N57" s="428"/>
    </row>
    <row r="58" spans="1:14" s="276" customFormat="1" x14ac:dyDescent="0.25">
      <c r="A58" s="49" t="s">
        <v>93</v>
      </c>
      <c r="B58" s="50" t="s">
        <v>322</v>
      </c>
      <c r="C58" s="50">
        <v>101074095</v>
      </c>
      <c r="D58" s="51">
        <v>0.9</v>
      </c>
      <c r="E58" s="212">
        <v>10897344</v>
      </c>
      <c r="F58" s="212">
        <v>0</v>
      </c>
      <c r="G58" s="278">
        <v>0</v>
      </c>
      <c r="H58" s="278">
        <f t="shared" si="7"/>
        <v>10897344</v>
      </c>
      <c r="I58" s="212">
        <v>6451705</v>
      </c>
      <c r="J58" s="212">
        <v>0</v>
      </c>
      <c r="K58" s="278">
        <f>SUM(I58:J58)</f>
        <v>6451705</v>
      </c>
      <c r="L58" s="279">
        <v>645171</v>
      </c>
      <c r="M58" s="162"/>
    </row>
    <row r="59" spans="1:14" x14ac:dyDescent="0.25">
      <c r="A59" s="49" t="s">
        <v>131</v>
      </c>
      <c r="B59" s="227" t="s">
        <v>111</v>
      </c>
      <c r="C59" s="450" t="s">
        <v>160</v>
      </c>
      <c r="D59" s="97">
        <v>1</v>
      </c>
      <c r="E59" s="212">
        <v>3921740</v>
      </c>
      <c r="F59" s="212">
        <v>0</v>
      </c>
      <c r="G59" s="278">
        <v>0</v>
      </c>
      <c r="H59" s="216">
        <f t="shared" si="7"/>
        <v>3921740</v>
      </c>
      <c r="I59" s="212">
        <v>1610634</v>
      </c>
      <c r="J59" s="212">
        <v>0</v>
      </c>
      <c r="K59" s="216">
        <f t="shared" ref="K59:K62" si="9">SUM(I59:J59)</f>
        <v>1610634</v>
      </c>
      <c r="L59" s="279">
        <v>0</v>
      </c>
      <c r="M59" s="162"/>
    </row>
    <row r="60" spans="1:14" x14ac:dyDescent="0.25">
      <c r="A60" s="49" t="s">
        <v>132</v>
      </c>
      <c r="B60" s="227" t="s">
        <v>149</v>
      </c>
      <c r="C60" s="277" t="s">
        <v>161</v>
      </c>
      <c r="D60" s="97">
        <v>1</v>
      </c>
      <c r="E60" s="212">
        <v>0</v>
      </c>
      <c r="F60" s="212">
        <v>0</v>
      </c>
      <c r="G60" s="268">
        <v>170533037</v>
      </c>
      <c r="H60" s="216">
        <f t="shared" si="7"/>
        <v>170533037</v>
      </c>
      <c r="I60" s="212">
        <v>21435578</v>
      </c>
      <c r="J60" s="212">
        <v>108330619</v>
      </c>
      <c r="K60" s="216">
        <f t="shared" si="9"/>
        <v>129766197</v>
      </c>
      <c r="L60" s="279">
        <v>0</v>
      </c>
      <c r="M60" s="162"/>
    </row>
    <row r="61" spans="1:14" x14ac:dyDescent="0.25">
      <c r="A61" s="49" t="s">
        <v>136</v>
      </c>
      <c r="B61" s="227" t="s">
        <v>183</v>
      </c>
      <c r="C61" s="450" t="s">
        <v>184</v>
      </c>
      <c r="D61" s="97">
        <v>1</v>
      </c>
      <c r="E61" s="212">
        <v>300000000</v>
      </c>
      <c r="F61" s="212">
        <v>0</v>
      </c>
      <c r="G61" s="278">
        <v>304217826</v>
      </c>
      <c r="H61" s="278">
        <f t="shared" ref="H61:H74" si="10">SUM(E61:G61)</f>
        <v>604217826</v>
      </c>
      <c r="I61" s="212">
        <v>368977025</v>
      </c>
      <c r="J61" s="212">
        <v>73959098</v>
      </c>
      <c r="K61" s="278">
        <f t="shared" si="9"/>
        <v>442936123</v>
      </c>
      <c r="L61" s="279">
        <v>0</v>
      </c>
      <c r="M61" s="162"/>
    </row>
    <row r="62" spans="1:14" x14ac:dyDescent="0.25">
      <c r="A62" s="49" t="s">
        <v>154</v>
      </c>
      <c r="B62" s="227" t="s">
        <v>271</v>
      </c>
      <c r="C62" s="450" t="s">
        <v>272</v>
      </c>
      <c r="D62" s="97">
        <v>1</v>
      </c>
      <c r="E62" s="212">
        <v>0</v>
      </c>
      <c r="F62" s="212">
        <v>0</v>
      </c>
      <c r="G62" s="278">
        <v>48119772</v>
      </c>
      <c r="H62" s="278">
        <f t="shared" si="10"/>
        <v>48119772</v>
      </c>
      <c r="I62" s="212">
        <v>2456728</v>
      </c>
      <c r="J62" s="212">
        <v>0</v>
      </c>
      <c r="K62" s="278">
        <f t="shared" si="9"/>
        <v>2456728</v>
      </c>
      <c r="L62" s="279">
        <v>0</v>
      </c>
      <c r="M62" s="162"/>
    </row>
    <row r="63" spans="1:14" x14ac:dyDescent="0.25">
      <c r="A63" s="49" t="s">
        <v>162</v>
      </c>
      <c r="B63" s="227" t="s">
        <v>323</v>
      </c>
      <c r="C63" s="451" t="s">
        <v>324</v>
      </c>
      <c r="D63" s="97">
        <v>1</v>
      </c>
      <c r="E63" s="212">
        <v>134314504</v>
      </c>
      <c r="F63" s="212">
        <v>0</v>
      </c>
      <c r="G63" s="278">
        <v>0</v>
      </c>
      <c r="H63" s="216">
        <f t="shared" si="10"/>
        <v>134314504</v>
      </c>
      <c r="I63" s="212">
        <v>1444450</v>
      </c>
      <c r="J63" s="212">
        <v>0</v>
      </c>
      <c r="K63" s="216">
        <f>SUM(I63:J63)</f>
        <v>1444450</v>
      </c>
      <c r="L63" s="279">
        <v>0</v>
      </c>
      <c r="M63" s="162"/>
    </row>
    <row r="64" spans="1:14" ht="15.75" customHeight="1" x14ac:dyDescent="0.25">
      <c r="A64" s="49" t="s">
        <v>165</v>
      </c>
      <c r="B64" s="452" t="s">
        <v>325</v>
      </c>
      <c r="C64" s="450" t="s">
        <v>326</v>
      </c>
      <c r="D64" s="97">
        <v>1</v>
      </c>
      <c r="E64" s="212">
        <v>90000000</v>
      </c>
      <c r="F64" s="212">
        <v>10000000</v>
      </c>
      <c r="G64" s="278">
        <v>0</v>
      </c>
      <c r="H64" s="216">
        <f t="shared" si="10"/>
        <v>100000000</v>
      </c>
      <c r="I64" s="212">
        <v>25221003</v>
      </c>
      <c r="J64" s="212">
        <v>0</v>
      </c>
      <c r="K64" s="216">
        <f>SUM(I64:J64)</f>
        <v>25221003</v>
      </c>
      <c r="L64" s="279">
        <v>0</v>
      </c>
      <c r="M64" s="8"/>
    </row>
    <row r="65" spans="1:13" x14ac:dyDescent="0.25">
      <c r="A65" s="49" t="s">
        <v>166</v>
      </c>
      <c r="B65" s="227" t="s">
        <v>163</v>
      </c>
      <c r="C65" s="450" t="s">
        <v>164</v>
      </c>
      <c r="D65" s="97">
        <v>1</v>
      </c>
      <c r="E65" s="212">
        <v>673004</v>
      </c>
      <c r="F65" s="212">
        <v>0</v>
      </c>
      <c r="G65" s="278">
        <v>0</v>
      </c>
      <c r="H65" s="278">
        <f t="shared" si="10"/>
        <v>673004</v>
      </c>
      <c r="I65" s="212">
        <v>122000</v>
      </c>
      <c r="J65" s="212">
        <v>0</v>
      </c>
      <c r="K65" s="278">
        <f t="shared" ref="K65:K74" si="11">SUM(I65:J65)</f>
        <v>122000</v>
      </c>
      <c r="L65" s="279">
        <v>0</v>
      </c>
      <c r="M65" s="8"/>
    </row>
    <row r="66" spans="1:13" x14ac:dyDescent="0.25">
      <c r="A66" s="49" t="s">
        <v>169</v>
      </c>
      <c r="B66" s="227" t="s">
        <v>167</v>
      </c>
      <c r="C66" s="450" t="s">
        <v>168</v>
      </c>
      <c r="D66" s="97">
        <v>1</v>
      </c>
      <c r="E66" s="212">
        <v>1592724</v>
      </c>
      <c r="F66" s="212">
        <v>0</v>
      </c>
      <c r="G66" s="278">
        <v>0</v>
      </c>
      <c r="H66" s="278">
        <f t="shared" si="10"/>
        <v>1592724</v>
      </c>
      <c r="I66" s="212">
        <v>30621</v>
      </c>
      <c r="J66" s="212">
        <v>0</v>
      </c>
      <c r="K66" s="278">
        <f t="shared" si="11"/>
        <v>30621</v>
      </c>
      <c r="L66" s="279">
        <v>0</v>
      </c>
      <c r="M66" s="8"/>
    </row>
    <row r="67" spans="1:13" x14ac:dyDescent="0.25">
      <c r="A67" s="96" t="s">
        <v>170</v>
      </c>
      <c r="B67" s="227" t="s">
        <v>189</v>
      </c>
      <c r="C67" s="277" t="s">
        <v>190</v>
      </c>
      <c r="D67" s="97">
        <v>1</v>
      </c>
      <c r="E67" s="212">
        <v>4838200</v>
      </c>
      <c r="F67" s="212">
        <v>0</v>
      </c>
      <c r="G67" s="268">
        <v>2660891</v>
      </c>
      <c r="H67" s="278">
        <f t="shared" si="10"/>
        <v>7499091</v>
      </c>
      <c r="I67" s="212">
        <v>7439362</v>
      </c>
      <c r="J67" s="212">
        <v>0</v>
      </c>
      <c r="K67" s="278">
        <f t="shared" si="11"/>
        <v>7439362</v>
      </c>
      <c r="L67" s="279">
        <v>0</v>
      </c>
      <c r="M67" s="8"/>
    </row>
    <row r="68" spans="1:13" x14ac:dyDescent="0.25">
      <c r="A68" s="96" t="s">
        <v>185</v>
      </c>
      <c r="B68" s="227" t="s">
        <v>192</v>
      </c>
      <c r="C68" s="277" t="s">
        <v>193</v>
      </c>
      <c r="D68" s="97">
        <v>1</v>
      </c>
      <c r="E68" s="212">
        <v>13883500</v>
      </c>
      <c r="F68" s="212">
        <v>0</v>
      </c>
      <c r="G68" s="268">
        <v>1989777</v>
      </c>
      <c r="H68" s="216">
        <f t="shared" si="10"/>
        <v>15873277</v>
      </c>
      <c r="I68" s="212">
        <v>15581440</v>
      </c>
      <c r="J68" s="212">
        <v>0</v>
      </c>
      <c r="K68" s="216">
        <f t="shared" si="11"/>
        <v>15581440</v>
      </c>
      <c r="L68" s="279">
        <v>0</v>
      </c>
      <c r="M68" s="8"/>
    </row>
    <row r="69" spans="1:13" x14ac:dyDescent="0.25">
      <c r="A69" s="96" t="s">
        <v>186</v>
      </c>
      <c r="B69" s="227" t="s">
        <v>195</v>
      </c>
      <c r="C69" s="277" t="s">
        <v>196</v>
      </c>
      <c r="D69" s="97">
        <v>1</v>
      </c>
      <c r="E69" s="212">
        <v>20534778</v>
      </c>
      <c r="F69" s="212">
        <v>0</v>
      </c>
      <c r="G69" s="268">
        <v>9431011</v>
      </c>
      <c r="H69" s="216">
        <f t="shared" si="10"/>
        <v>29965789</v>
      </c>
      <c r="I69" s="212">
        <v>29700576</v>
      </c>
      <c r="J69" s="212">
        <v>0</v>
      </c>
      <c r="K69" s="216">
        <f t="shared" si="11"/>
        <v>29700576</v>
      </c>
      <c r="L69" s="279">
        <v>0</v>
      </c>
    </row>
    <row r="70" spans="1:13" x14ac:dyDescent="0.25">
      <c r="A70" s="96" t="s">
        <v>187</v>
      </c>
      <c r="B70" s="227" t="s">
        <v>198</v>
      </c>
      <c r="C70" s="277" t="s">
        <v>199</v>
      </c>
      <c r="D70" s="97">
        <v>1</v>
      </c>
      <c r="E70" s="212">
        <v>20975000</v>
      </c>
      <c r="F70" s="212">
        <v>0</v>
      </c>
      <c r="G70" s="268">
        <v>8741100</v>
      </c>
      <c r="H70" s="278">
        <f t="shared" si="10"/>
        <v>29716100</v>
      </c>
      <c r="I70" s="212">
        <v>29614721</v>
      </c>
      <c r="J70" s="212">
        <v>0</v>
      </c>
      <c r="K70" s="278">
        <f t="shared" si="11"/>
        <v>29614721</v>
      </c>
      <c r="L70" s="279">
        <v>0</v>
      </c>
    </row>
    <row r="71" spans="1:13" x14ac:dyDescent="0.25">
      <c r="A71" s="96" t="s">
        <v>188</v>
      </c>
      <c r="B71" s="227" t="s">
        <v>201</v>
      </c>
      <c r="C71" s="277" t="s">
        <v>202</v>
      </c>
      <c r="D71" s="97">
        <v>1</v>
      </c>
      <c r="E71" s="212">
        <v>5914308</v>
      </c>
      <c r="F71" s="212">
        <v>0</v>
      </c>
      <c r="G71" s="268">
        <v>8858595</v>
      </c>
      <c r="H71" s="278">
        <f t="shared" si="10"/>
        <v>14772903</v>
      </c>
      <c r="I71" s="212">
        <v>13520596</v>
      </c>
      <c r="J71" s="212">
        <v>0</v>
      </c>
      <c r="K71" s="278">
        <f t="shared" si="11"/>
        <v>13520596</v>
      </c>
      <c r="L71" s="279">
        <v>0</v>
      </c>
    </row>
    <row r="72" spans="1:13" x14ac:dyDescent="0.25">
      <c r="A72" s="96" t="s">
        <v>191</v>
      </c>
      <c r="B72" s="227" t="s">
        <v>204</v>
      </c>
      <c r="C72" s="277" t="s">
        <v>205</v>
      </c>
      <c r="D72" s="97">
        <v>1</v>
      </c>
      <c r="E72" s="212">
        <v>10600000</v>
      </c>
      <c r="F72" s="212">
        <v>0</v>
      </c>
      <c r="G72" s="268">
        <v>1004892</v>
      </c>
      <c r="H72" s="278">
        <f t="shared" si="10"/>
        <v>11604892</v>
      </c>
      <c r="I72" s="212">
        <v>11566790</v>
      </c>
      <c r="J72" s="212">
        <v>0</v>
      </c>
      <c r="K72" s="278">
        <f t="shared" si="11"/>
        <v>11566790</v>
      </c>
      <c r="L72" s="279">
        <v>0</v>
      </c>
    </row>
    <row r="73" spans="1:13" x14ac:dyDescent="0.25">
      <c r="A73" s="96" t="s">
        <v>194</v>
      </c>
      <c r="B73" s="227" t="s">
        <v>207</v>
      </c>
      <c r="C73" s="277" t="s">
        <v>208</v>
      </c>
      <c r="D73" s="97">
        <v>1</v>
      </c>
      <c r="E73" s="212">
        <v>15890750</v>
      </c>
      <c r="F73" s="212">
        <v>0</v>
      </c>
      <c r="G73" s="268">
        <v>6568570</v>
      </c>
      <c r="H73" s="278">
        <f t="shared" si="10"/>
        <v>22459320</v>
      </c>
      <c r="I73" s="212">
        <v>21857286</v>
      </c>
      <c r="J73" s="212">
        <v>0</v>
      </c>
      <c r="K73" s="278">
        <f t="shared" si="11"/>
        <v>21857286</v>
      </c>
      <c r="L73" s="279">
        <v>0</v>
      </c>
    </row>
    <row r="74" spans="1:13" x14ac:dyDescent="0.25">
      <c r="A74" s="96" t="s">
        <v>197</v>
      </c>
      <c r="B74" s="227" t="s">
        <v>211</v>
      </c>
      <c r="C74" s="277" t="s">
        <v>212</v>
      </c>
      <c r="D74" s="97">
        <v>1</v>
      </c>
      <c r="E74" s="212">
        <v>21921818</v>
      </c>
      <c r="F74" s="212">
        <v>0</v>
      </c>
      <c r="G74" s="268">
        <v>225894</v>
      </c>
      <c r="H74" s="278">
        <f t="shared" si="10"/>
        <v>22147712</v>
      </c>
      <c r="I74" s="212">
        <v>21937396</v>
      </c>
      <c r="J74" s="212">
        <v>0</v>
      </c>
      <c r="K74" s="278">
        <f t="shared" si="11"/>
        <v>21937396</v>
      </c>
      <c r="L74" s="279">
        <v>0</v>
      </c>
    </row>
    <row r="75" spans="1:13" ht="16.5" thickBot="1" x14ac:dyDescent="0.3">
      <c r="A75" s="586" t="s">
        <v>360</v>
      </c>
      <c r="B75" s="587"/>
      <c r="C75" s="587"/>
      <c r="D75" s="587"/>
      <c r="E75" s="294">
        <f t="shared" ref="E75" si="12">SUM(E50:E74)</f>
        <v>732745502</v>
      </c>
      <c r="F75" s="294">
        <f>SUM(F50:F74)</f>
        <v>10000000</v>
      </c>
      <c r="G75" s="294">
        <f t="shared" ref="G75:L75" si="13">SUM(G50:G74)</f>
        <v>567944686</v>
      </c>
      <c r="H75" s="294">
        <f t="shared" si="13"/>
        <v>1310690188</v>
      </c>
      <c r="I75" s="294">
        <f t="shared" si="13"/>
        <v>637645311</v>
      </c>
      <c r="J75" s="294">
        <f t="shared" si="13"/>
        <v>185212697</v>
      </c>
      <c r="K75" s="294">
        <f t="shared" si="13"/>
        <v>822858008</v>
      </c>
      <c r="L75" s="343">
        <f t="shared" si="13"/>
        <v>8363467</v>
      </c>
    </row>
    <row r="76" spans="1:13" x14ac:dyDescent="0.25">
      <c r="A76" s="588" t="s">
        <v>361</v>
      </c>
      <c r="B76" s="589"/>
      <c r="C76" s="589"/>
      <c r="D76" s="589"/>
      <c r="E76" s="589"/>
      <c r="F76" s="589"/>
      <c r="G76" s="589"/>
      <c r="H76" s="589"/>
      <c r="I76" s="589"/>
      <c r="J76" s="589"/>
      <c r="K76" s="589"/>
      <c r="L76" s="590"/>
    </row>
    <row r="77" spans="1:13" x14ac:dyDescent="0.25">
      <c r="A77" s="49" t="s">
        <v>1</v>
      </c>
      <c r="B77" s="129" t="s">
        <v>111</v>
      </c>
      <c r="C77" s="130" t="s">
        <v>160</v>
      </c>
      <c r="D77" s="51">
        <v>1</v>
      </c>
      <c r="E77" s="118">
        <v>6583437</v>
      </c>
      <c r="F77" s="118">
        <v>0</v>
      </c>
      <c r="G77" s="118">
        <v>0</v>
      </c>
      <c r="H77" s="118">
        <f>E77+F77+G77</f>
        <v>6583437</v>
      </c>
      <c r="I77" s="118">
        <v>15393390</v>
      </c>
      <c r="J77" s="118">
        <v>0</v>
      </c>
      <c r="K77" s="118">
        <f>I77+J77</f>
        <v>15393390</v>
      </c>
      <c r="L77" s="125">
        <v>0</v>
      </c>
    </row>
    <row r="78" spans="1:13" ht="16.5" thickBot="1" x14ac:dyDescent="0.3">
      <c r="A78" s="591" t="s">
        <v>362</v>
      </c>
      <c r="B78" s="592"/>
      <c r="C78" s="592"/>
      <c r="D78" s="592"/>
      <c r="E78" s="344">
        <f>SUM(E77)</f>
        <v>6583437</v>
      </c>
      <c r="F78" s="344">
        <f t="shared" ref="F78:L78" si="14">SUM(F77)</f>
        <v>0</v>
      </c>
      <c r="G78" s="344">
        <f t="shared" si="14"/>
        <v>0</v>
      </c>
      <c r="H78" s="344">
        <f t="shared" si="14"/>
        <v>6583437</v>
      </c>
      <c r="I78" s="344">
        <f t="shared" si="14"/>
        <v>15393390</v>
      </c>
      <c r="J78" s="344">
        <f t="shared" si="14"/>
        <v>0</v>
      </c>
      <c r="K78" s="344">
        <f t="shared" si="14"/>
        <v>15393390</v>
      </c>
      <c r="L78" s="345">
        <f t="shared" si="14"/>
        <v>0</v>
      </c>
    </row>
    <row r="79" spans="1:13" ht="16.5" thickBot="1" x14ac:dyDescent="0.3">
      <c r="A79" s="593" t="s">
        <v>109</v>
      </c>
      <c r="B79" s="594"/>
      <c r="C79" s="594"/>
      <c r="D79" s="594"/>
      <c r="E79" s="426">
        <f t="shared" ref="E79:L79" si="15">E75+E78</f>
        <v>739328939</v>
      </c>
      <c r="F79" s="426">
        <f t="shared" si="15"/>
        <v>10000000</v>
      </c>
      <c r="G79" s="426">
        <f t="shared" si="15"/>
        <v>567944686</v>
      </c>
      <c r="H79" s="426">
        <f t="shared" si="15"/>
        <v>1317273625</v>
      </c>
      <c r="I79" s="426">
        <f t="shared" si="15"/>
        <v>653038701</v>
      </c>
      <c r="J79" s="426">
        <f t="shared" si="15"/>
        <v>185212697</v>
      </c>
      <c r="K79" s="426">
        <f t="shared" si="15"/>
        <v>838251398</v>
      </c>
      <c r="L79" s="427">
        <f t="shared" si="15"/>
        <v>8363467</v>
      </c>
    </row>
  </sheetData>
  <mergeCells count="42">
    <mergeCell ref="A76:L76"/>
    <mergeCell ref="A78:D78"/>
    <mergeCell ref="A79:D79"/>
    <mergeCell ref="A75:D75"/>
    <mergeCell ref="J47:J48"/>
    <mergeCell ref="K47:K48"/>
    <mergeCell ref="E48:H48"/>
    <mergeCell ref="A49:L49"/>
    <mergeCell ref="A45:A48"/>
    <mergeCell ref="B45:D46"/>
    <mergeCell ref="E45:K45"/>
    <mergeCell ref="L45:L48"/>
    <mergeCell ref="E46:H46"/>
    <mergeCell ref="I46:K46"/>
    <mergeCell ref="B47:B48"/>
    <mergeCell ref="C47:C48"/>
    <mergeCell ref="D47:D48"/>
    <mergeCell ref="I47:I48"/>
    <mergeCell ref="A12:L12"/>
    <mergeCell ref="K44:L44"/>
    <mergeCell ref="A38:D38"/>
    <mergeCell ref="A39:L39"/>
    <mergeCell ref="A41:D41"/>
    <mergeCell ref="A42:D42"/>
    <mergeCell ref="F1:L1"/>
    <mergeCell ref="A3:L3"/>
    <mergeCell ref="A4:L4"/>
    <mergeCell ref="A5:L5"/>
    <mergeCell ref="K7:L7"/>
    <mergeCell ref="A8:A11"/>
    <mergeCell ref="B8:D9"/>
    <mergeCell ref="E8:K8"/>
    <mergeCell ref="L8:L11"/>
    <mergeCell ref="E9:H9"/>
    <mergeCell ref="I9:K9"/>
    <mergeCell ref="B10:B11"/>
    <mergeCell ref="C10:C11"/>
    <mergeCell ref="D10:D11"/>
    <mergeCell ref="I10:I11"/>
    <mergeCell ref="J10:J11"/>
    <mergeCell ref="K10:K11"/>
    <mergeCell ref="E11:H11"/>
  </mergeCells>
  <printOptions horizontalCentered="1"/>
  <pageMargins left="0.31496062992125984" right="0.31496062992125984" top="0" bottom="0" header="0.31496062992125984" footer="0.31496062992125984"/>
  <pageSetup paperSize="9" scale="76" orientation="landscape" r:id="rId1"/>
  <rowBreaks count="1" manualBreakCount="1">
    <brk id="42" max="11" man="1"/>
  </rowBreaks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B66DC-E80D-46B9-95B3-5D4685E3503C}">
  <sheetPr>
    <tabColor theme="6" tint="0.59999389629810485"/>
  </sheetPr>
  <dimension ref="A1:N175"/>
  <sheetViews>
    <sheetView zoomScaleNormal="100" workbookViewId="0">
      <selection activeCell="N8" sqref="N8"/>
    </sheetView>
  </sheetViews>
  <sheetFormatPr defaultColWidth="9.140625" defaultRowHeight="15.75" x14ac:dyDescent="0.25"/>
  <cols>
    <col min="1" max="1" width="4.5703125" style="63" customWidth="1"/>
    <col min="2" max="2" width="15.7109375" style="63" customWidth="1"/>
    <col min="3" max="3" width="27.7109375" style="63" customWidth="1"/>
    <col min="4" max="4" width="8.7109375" style="63" customWidth="1"/>
    <col min="5" max="7" width="13.7109375" style="63" customWidth="1"/>
    <col min="8" max="9" width="12.7109375" style="63" customWidth="1"/>
    <col min="10" max="10" width="14.7109375" style="63" customWidth="1"/>
    <col min="11" max="11" width="11.28515625" style="63" customWidth="1"/>
    <col min="12" max="12" width="14.7109375" style="63" customWidth="1"/>
    <col min="13" max="13" width="13.85546875" style="63" customWidth="1"/>
    <col min="14" max="16384" width="9.140625" style="63"/>
  </cols>
  <sheetData>
    <row r="1" spans="1:14" ht="18" customHeight="1" x14ac:dyDescent="0.25">
      <c r="E1" s="458" t="s">
        <v>328</v>
      </c>
      <c r="F1" s="458"/>
      <c r="G1" s="458"/>
      <c r="H1" s="458"/>
      <c r="I1" s="458"/>
      <c r="J1" s="458"/>
      <c r="K1" s="458"/>
      <c r="L1" s="458"/>
    </row>
    <row r="2" spans="1:14" ht="15" customHeight="1" x14ac:dyDescent="0.25">
      <c r="A2" s="109"/>
      <c r="B2" s="109"/>
      <c r="C2" s="109"/>
      <c r="D2" s="109"/>
      <c r="E2" s="109"/>
      <c r="F2" s="225"/>
      <c r="G2" s="225"/>
      <c r="H2" s="225"/>
      <c r="I2" s="225"/>
      <c r="J2" s="225"/>
      <c r="K2" s="225"/>
      <c r="L2" s="225"/>
      <c r="M2" s="89"/>
    </row>
    <row r="3" spans="1:14" ht="15.95" customHeight="1" x14ac:dyDescent="0.25">
      <c r="A3" s="622" t="s">
        <v>357</v>
      </c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</row>
    <row r="4" spans="1:14" s="110" customFormat="1" ht="15.95" customHeight="1" x14ac:dyDescent="0.25">
      <c r="A4" s="623" t="s">
        <v>171</v>
      </c>
      <c r="B4" s="623"/>
      <c r="C4" s="623"/>
      <c r="D4" s="623"/>
      <c r="E4" s="623"/>
      <c r="F4" s="623"/>
      <c r="G4" s="623"/>
      <c r="H4" s="623"/>
      <c r="I4" s="623"/>
      <c r="J4" s="623"/>
      <c r="K4" s="623"/>
      <c r="L4" s="623"/>
    </row>
    <row r="5" spans="1:14" s="64" customFormat="1" ht="15.95" customHeight="1" x14ac:dyDescent="0.25">
      <c r="A5" s="622" t="s">
        <v>287</v>
      </c>
      <c r="B5" s="622"/>
      <c r="C5" s="622"/>
      <c r="D5" s="622"/>
      <c r="E5" s="622"/>
      <c r="F5" s="622"/>
      <c r="G5" s="622"/>
      <c r="H5" s="622"/>
      <c r="I5" s="622"/>
      <c r="J5" s="622"/>
      <c r="K5" s="622"/>
      <c r="L5" s="622"/>
      <c r="M5" s="65"/>
      <c r="N5" s="65"/>
    </row>
    <row r="6" spans="1:14" s="64" customFormat="1" ht="15.95" customHeight="1" x14ac:dyDescent="0.25">
      <c r="A6" s="622"/>
      <c r="B6" s="622"/>
      <c r="C6" s="622"/>
      <c r="D6" s="622"/>
      <c r="E6" s="622"/>
      <c r="F6" s="622"/>
      <c r="G6" s="622"/>
      <c r="H6" s="622"/>
      <c r="I6" s="622"/>
      <c r="J6" s="622"/>
      <c r="K6" s="622"/>
      <c r="L6" s="622"/>
      <c r="M6" s="65"/>
      <c r="N6" s="65"/>
    </row>
    <row r="7" spans="1:14" ht="18" customHeight="1" thickBot="1" x14ac:dyDescent="0.3">
      <c r="A7" s="124"/>
      <c r="B7" s="124"/>
      <c r="C7" s="124"/>
      <c r="D7" s="124"/>
      <c r="E7" s="124"/>
      <c r="H7" s="64"/>
      <c r="I7" s="64"/>
      <c r="J7" s="64"/>
      <c r="K7" s="624" t="s">
        <v>252</v>
      </c>
      <c r="L7" s="624"/>
    </row>
    <row r="8" spans="1:14" ht="18" customHeight="1" x14ac:dyDescent="0.25">
      <c r="A8" s="638" t="s">
        <v>9</v>
      </c>
      <c r="B8" s="641" t="s">
        <v>96</v>
      </c>
      <c r="C8" s="641"/>
      <c r="D8" s="641"/>
      <c r="E8" s="642" t="s">
        <v>289</v>
      </c>
      <c r="F8" s="642"/>
      <c r="G8" s="642"/>
      <c r="H8" s="642"/>
      <c r="I8" s="642"/>
      <c r="J8" s="642"/>
      <c r="K8" s="642"/>
      <c r="L8" s="643"/>
    </row>
    <row r="9" spans="1:14" ht="15" customHeight="1" x14ac:dyDescent="0.25">
      <c r="A9" s="639"/>
      <c r="B9" s="618"/>
      <c r="C9" s="618"/>
      <c r="D9" s="618"/>
      <c r="E9" s="634" t="s">
        <v>137</v>
      </c>
      <c r="F9" s="634"/>
      <c r="G9" s="634"/>
      <c r="H9" s="634"/>
      <c r="I9" s="634"/>
      <c r="J9" s="634"/>
      <c r="K9" s="618" t="s">
        <v>99</v>
      </c>
      <c r="L9" s="644" t="s">
        <v>105</v>
      </c>
    </row>
    <row r="10" spans="1:14" ht="15" customHeight="1" x14ac:dyDescent="0.25">
      <c r="A10" s="639"/>
      <c r="B10" s="618" t="s">
        <v>100</v>
      </c>
      <c r="C10" s="618" t="s">
        <v>101</v>
      </c>
      <c r="D10" s="620" t="s">
        <v>172</v>
      </c>
      <c r="E10" s="618" t="s">
        <v>138</v>
      </c>
      <c r="F10" s="634" t="s">
        <v>108</v>
      </c>
      <c r="G10" s="634"/>
      <c r="H10" s="634"/>
      <c r="I10" s="634"/>
      <c r="J10" s="634"/>
      <c r="K10" s="618"/>
      <c r="L10" s="644"/>
    </row>
    <row r="11" spans="1:14" ht="15" customHeight="1" x14ac:dyDescent="0.25">
      <c r="A11" s="639"/>
      <c r="B11" s="618"/>
      <c r="C11" s="618"/>
      <c r="D11" s="620"/>
      <c r="E11" s="618"/>
      <c r="F11" s="634" t="s">
        <v>213</v>
      </c>
      <c r="G11" s="634"/>
      <c r="H11" s="634" t="s">
        <v>214</v>
      </c>
      <c r="I11" s="636" t="s">
        <v>139</v>
      </c>
      <c r="J11" s="634" t="s">
        <v>105</v>
      </c>
      <c r="K11" s="618"/>
      <c r="L11" s="644"/>
    </row>
    <row r="12" spans="1:14" ht="15" customHeight="1" thickBot="1" x14ac:dyDescent="0.3">
      <c r="A12" s="640"/>
      <c r="B12" s="619"/>
      <c r="C12" s="619"/>
      <c r="D12" s="621"/>
      <c r="E12" s="619"/>
      <c r="F12" s="342" t="s">
        <v>215</v>
      </c>
      <c r="G12" s="342" t="s">
        <v>216</v>
      </c>
      <c r="H12" s="635"/>
      <c r="I12" s="637"/>
      <c r="J12" s="635"/>
      <c r="K12" s="619"/>
      <c r="L12" s="645"/>
    </row>
    <row r="13" spans="1:14" ht="15" customHeight="1" x14ac:dyDescent="0.25">
      <c r="A13" s="625" t="s">
        <v>1</v>
      </c>
      <c r="B13" s="628" t="s">
        <v>156</v>
      </c>
      <c r="C13" s="628" t="s">
        <v>157</v>
      </c>
      <c r="D13" s="631">
        <v>0.95</v>
      </c>
      <c r="E13" s="90" t="s">
        <v>140</v>
      </c>
      <c r="F13" s="111">
        <v>0</v>
      </c>
      <c r="G13" s="111">
        <f>2507096+297482</f>
        <v>2804578</v>
      </c>
      <c r="H13" s="111">
        <v>0</v>
      </c>
      <c r="I13" s="111">
        <v>294953</v>
      </c>
      <c r="J13" s="111">
        <f>SUM(F13:I13)</f>
        <v>3099531</v>
      </c>
      <c r="K13" s="111">
        <v>199973</v>
      </c>
      <c r="L13" s="113">
        <f t="shared" ref="L13:L87" si="0">J13+K13</f>
        <v>3299504</v>
      </c>
    </row>
    <row r="14" spans="1:14" ht="15" customHeight="1" x14ac:dyDescent="0.25">
      <c r="A14" s="626"/>
      <c r="B14" s="629"/>
      <c r="C14" s="629"/>
      <c r="D14" s="632"/>
      <c r="E14" s="50" t="s">
        <v>141</v>
      </c>
      <c r="F14" s="118">
        <v>0</v>
      </c>
      <c r="G14" s="118">
        <v>0</v>
      </c>
      <c r="H14" s="118">
        <v>0</v>
      </c>
      <c r="I14" s="118">
        <v>0</v>
      </c>
      <c r="J14" s="118">
        <v>0</v>
      </c>
      <c r="K14" s="118">
        <v>0</v>
      </c>
      <c r="L14" s="125">
        <f t="shared" si="0"/>
        <v>0</v>
      </c>
    </row>
    <row r="15" spans="1:14" ht="15" customHeight="1" thickBot="1" x14ac:dyDescent="0.3">
      <c r="A15" s="627"/>
      <c r="B15" s="630"/>
      <c r="C15" s="630"/>
      <c r="D15" s="633"/>
      <c r="E15" s="402" t="s">
        <v>105</v>
      </c>
      <c r="F15" s="403">
        <f t="shared" ref="F15:K15" si="1">SUM(F13:F14)</f>
        <v>0</v>
      </c>
      <c r="G15" s="403">
        <f t="shared" si="1"/>
        <v>2804578</v>
      </c>
      <c r="H15" s="403">
        <f t="shared" si="1"/>
        <v>0</v>
      </c>
      <c r="I15" s="403">
        <f t="shared" si="1"/>
        <v>294953</v>
      </c>
      <c r="J15" s="403">
        <f t="shared" si="1"/>
        <v>3099531</v>
      </c>
      <c r="K15" s="403">
        <f t="shared" si="1"/>
        <v>199973</v>
      </c>
      <c r="L15" s="404">
        <f t="shared" si="0"/>
        <v>3299504</v>
      </c>
    </row>
    <row r="16" spans="1:14" s="281" customFormat="1" ht="15" customHeight="1" x14ac:dyDescent="0.25">
      <c r="A16" s="625" t="s">
        <v>2</v>
      </c>
      <c r="B16" s="628" t="s">
        <v>158</v>
      </c>
      <c r="C16" s="628" t="s">
        <v>159</v>
      </c>
      <c r="D16" s="631">
        <v>0.95</v>
      </c>
      <c r="E16" s="282" t="s">
        <v>140</v>
      </c>
      <c r="F16" s="112">
        <v>0</v>
      </c>
      <c r="G16" s="112">
        <f>669271+1625328</f>
        <v>2294599</v>
      </c>
      <c r="H16" s="112">
        <v>0</v>
      </c>
      <c r="I16" s="112">
        <v>78738</v>
      </c>
      <c r="J16" s="112">
        <f>SUM(F16:I16)</f>
        <v>2373337</v>
      </c>
      <c r="K16" s="112">
        <v>39369</v>
      </c>
      <c r="L16" s="283">
        <f t="shared" si="0"/>
        <v>2412706</v>
      </c>
    </row>
    <row r="17" spans="1:13" ht="15" customHeight="1" x14ac:dyDescent="0.25">
      <c r="A17" s="626"/>
      <c r="B17" s="629"/>
      <c r="C17" s="629"/>
      <c r="D17" s="632"/>
      <c r="E17" s="50" t="s">
        <v>141</v>
      </c>
      <c r="F17" s="118">
        <v>0</v>
      </c>
      <c r="G17" s="118">
        <v>0</v>
      </c>
      <c r="H17" s="118">
        <v>0</v>
      </c>
      <c r="I17" s="118"/>
      <c r="J17" s="118">
        <v>0</v>
      </c>
      <c r="K17" s="118">
        <v>0</v>
      </c>
      <c r="L17" s="125">
        <f t="shared" si="0"/>
        <v>0</v>
      </c>
    </row>
    <row r="18" spans="1:13" ht="15" customHeight="1" thickBot="1" x14ac:dyDescent="0.3">
      <c r="A18" s="627"/>
      <c r="B18" s="630"/>
      <c r="C18" s="630"/>
      <c r="D18" s="633"/>
      <c r="E18" s="402" t="s">
        <v>105</v>
      </c>
      <c r="F18" s="403">
        <f t="shared" ref="F18:K18" si="2">SUM(F16:F17)</f>
        <v>0</v>
      </c>
      <c r="G18" s="403">
        <f t="shared" si="2"/>
        <v>2294599</v>
      </c>
      <c r="H18" s="403">
        <f t="shared" si="2"/>
        <v>0</v>
      </c>
      <c r="I18" s="403">
        <f t="shared" si="2"/>
        <v>78738</v>
      </c>
      <c r="J18" s="403">
        <f t="shared" si="2"/>
        <v>2373337</v>
      </c>
      <c r="K18" s="403">
        <f t="shared" si="2"/>
        <v>39369</v>
      </c>
      <c r="L18" s="404">
        <f t="shared" si="0"/>
        <v>2412706</v>
      </c>
    </row>
    <row r="19" spans="1:13" ht="15" customHeight="1" x14ac:dyDescent="0.25">
      <c r="A19" s="625" t="s">
        <v>4</v>
      </c>
      <c r="B19" s="628" t="s">
        <v>175</v>
      </c>
      <c r="C19" s="628" t="s">
        <v>176</v>
      </c>
      <c r="D19" s="631">
        <v>0.95</v>
      </c>
      <c r="E19" s="90" t="s">
        <v>140</v>
      </c>
      <c r="F19" s="111">
        <v>0</v>
      </c>
      <c r="G19" s="111">
        <f>13733994+1182253</f>
        <v>14916247</v>
      </c>
      <c r="H19" s="111">
        <v>0</v>
      </c>
      <c r="I19" s="111">
        <v>1615764</v>
      </c>
      <c r="J19" s="111">
        <f>SUM(F19:I19)</f>
        <v>16532011</v>
      </c>
      <c r="K19" s="111">
        <v>807882</v>
      </c>
      <c r="L19" s="113">
        <f t="shared" si="0"/>
        <v>17339893</v>
      </c>
    </row>
    <row r="20" spans="1:13" ht="15" customHeight="1" x14ac:dyDescent="0.25">
      <c r="A20" s="626"/>
      <c r="B20" s="629"/>
      <c r="C20" s="629"/>
      <c r="D20" s="632"/>
      <c r="E20" s="50" t="s">
        <v>141</v>
      </c>
      <c r="F20" s="118">
        <v>0</v>
      </c>
      <c r="G20" s="118">
        <v>0</v>
      </c>
      <c r="H20" s="118">
        <v>0</v>
      </c>
      <c r="I20" s="118">
        <v>0</v>
      </c>
      <c r="J20" s="118">
        <v>0</v>
      </c>
      <c r="K20" s="118"/>
      <c r="L20" s="125">
        <f t="shared" si="0"/>
        <v>0</v>
      </c>
    </row>
    <row r="21" spans="1:13" ht="15" customHeight="1" thickBot="1" x14ac:dyDescent="0.3">
      <c r="A21" s="627"/>
      <c r="B21" s="630"/>
      <c r="C21" s="630"/>
      <c r="D21" s="633"/>
      <c r="E21" s="402" t="s">
        <v>105</v>
      </c>
      <c r="F21" s="403">
        <f t="shared" ref="F21:K21" si="3">SUM(F19:F20)</f>
        <v>0</v>
      </c>
      <c r="G21" s="403">
        <f t="shared" si="3"/>
        <v>14916247</v>
      </c>
      <c r="H21" s="403">
        <f t="shared" si="3"/>
        <v>0</v>
      </c>
      <c r="I21" s="403">
        <f t="shared" si="3"/>
        <v>1615764</v>
      </c>
      <c r="J21" s="403">
        <f t="shared" si="3"/>
        <v>16532011</v>
      </c>
      <c r="K21" s="403">
        <f t="shared" si="3"/>
        <v>807882</v>
      </c>
      <c r="L21" s="404">
        <f t="shared" si="0"/>
        <v>17339893</v>
      </c>
    </row>
    <row r="22" spans="1:13" ht="15" customHeight="1" x14ac:dyDescent="0.25">
      <c r="A22" s="625" t="s">
        <v>5</v>
      </c>
      <c r="B22" s="628" t="s">
        <v>177</v>
      </c>
      <c r="C22" s="628" t="s">
        <v>178</v>
      </c>
      <c r="D22" s="631">
        <v>0.95</v>
      </c>
      <c r="E22" s="90" t="s">
        <v>140</v>
      </c>
      <c r="F22" s="111">
        <v>0</v>
      </c>
      <c r="G22" s="111">
        <v>11717822</v>
      </c>
      <c r="H22" s="111">
        <v>0</v>
      </c>
      <c r="I22" s="111">
        <v>1378567</v>
      </c>
      <c r="J22" s="111">
        <f>SUM(F22:I22)</f>
        <v>13096389</v>
      </c>
      <c r="K22" s="111">
        <v>689284</v>
      </c>
      <c r="L22" s="113">
        <f>J22+K22</f>
        <v>13785673</v>
      </c>
      <c r="M22" s="66"/>
    </row>
    <row r="23" spans="1:13" ht="15" customHeight="1" x14ac:dyDescent="0.25">
      <c r="A23" s="626"/>
      <c r="B23" s="629"/>
      <c r="C23" s="629"/>
      <c r="D23" s="632"/>
      <c r="E23" s="50" t="s">
        <v>141</v>
      </c>
      <c r="F23" s="118">
        <v>0</v>
      </c>
      <c r="G23" s="118">
        <v>0</v>
      </c>
      <c r="H23" s="118">
        <v>0</v>
      </c>
      <c r="I23" s="118">
        <v>0</v>
      </c>
      <c r="J23" s="118">
        <v>0</v>
      </c>
      <c r="K23" s="118">
        <v>0</v>
      </c>
      <c r="L23" s="125">
        <f t="shared" si="0"/>
        <v>0</v>
      </c>
    </row>
    <row r="24" spans="1:13" ht="15" customHeight="1" thickBot="1" x14ac:dyDescent="0.3">
      <c r="A24" s="627"/>
      <c r="B24" s="630"/>
      <c r="C24" s="630"/>
      <c r="D24" s="633"/>
      <c r="E24" s="402" t="s">
        <v>105</v>
      </c>
      <c r="F24" s="403">
        <f t="shared" ref="F24:K24" si="4">SUM(F22:F23)</f>
        <v>0</v>
      </c>
      <c r="G24" s="403">
        <f t="shared" si="4"/>
        <v>11717822</v>
      </c>
      <c r="H24" s="403">
        <f t="shared" si="4"/>
        <v>0</v>
      </c>
      <c r="I24" s="403">
        <f t="shared" si="4"/>
        <v>1378567</v>
      </c>
      <c r="J24" s="403">
        <f t="shared" si="4"/>
        <v>13096389</v>
      </c>
      <c r="K24" s="403">
        <f t="shared" si="4"/>
        <v>689284</v>
      </c>
      <c r="L24" s="404">
        <f t="shared" si="0"/>
        <v>13785673</v>
      </c>
    </row>
    <row r="25" spans="1:13" ht="15" customHeight="1" x14ac:dyDescent="0.25">
      <c r="A25" s="625" t="s">
        <v>7</v>
      </c>
      <c r="B25" s="628" t="s">
        <v>179</v>
      </c>
      <c r="C25" s="628" t="s">
        <v>180</v>
      </c>
      <c r="D25" s="631">
        <v>0.95</v>
      </c>
      <c r="E25" s="90" t="s">
        <v>140</v>
      </c>
      <c r="F25" s="111">
        <v>0</v>
      </c>
      <c r="G25" s="111">
        <f>4826130+2414291+19258108</f>
        <v>26498529</v>
      </c>
      <c r="H25" s="111">
        <v>0</v>
      </c>
      <c r="I25" s="111">
        <v>567780</v>
      </c>
      <c r="J25" s="111">
        <f>SUM(F25:I25)</f>
        <v>27066309</v>
      </c>
      <c r="K25" s="111">
        <v>283890</v>
      </c>
      <c r="L25" s="113">
        <f t="shared" si="0"/>
        <v>27350199</v>
      </c>
    </row>
    <row r="26" spans="1:13" ht="15" customHeight="1" x14ac:dyDescent="0.25">
      <c r="A26" s="626"/>
      <c r="B26" s="629"/>
      <c r="C26" s="629"/>
      <c r="D26" s="632"/>
      <c r="E26" s="50" t="s">
        <v>141</v>
      </c>
      <c r="F26" s="118">
        <v>0</v>
      </c>
      <c r="G26" s="118">
        <v>0</v>
      </c>
      <c r="H26" s="118">
        <v>0</v>
      </c>
      <c r="I26" s="118">
        <v>0</v>
      </c>
      <c r="J26" s="118">
        <v>0</v>
      </c>
      <c r="K26" s="118">
        <v>0</v>
      </c>
      <c r="L26" s="125">
        <f t="shared" si="0"/>
        <v>0</v>
      </c>
    </row>
    <row r="27" spans="1:13" ht="15" customHeight="1" thickBot="1" x14ac:dyDescent="0.3">
      <c r="A27" s="627"/>
      <c r="B27" s="630"/>
      <c r="C27" s="630"/>
      <c r="D27" s="633"/>
      <c r="E27" s="402" t="s">
        <v>105</v>
      </c>
      <c r="F27" s="403">
        <f t="shared" ref="F27:K27" si="5">SUM(F25:F26)</f>
        <v>0</v>
      </c>
      <c r="G27" s="403">
        <f t="shared" si="5"/>
        <v>26498529</v>
      </c>
      <c r="H27" s="403">
        <f t="shared" si="5"/>
        <v>0</v>
      </c>
      <c r="I27" s="403">
        <f t="shared" si="5"/>
        <v>567780</v>
      </c>
      <c r="J27" s="403">
        <f t="shared" si="5"/>
        <v>27066309</v>
      </c>
      <c r="K27" s="403">
        <f t="shared" si="5"/>
        <v>283890</v>
      </c>
      <c r="L27" s="404">
        <f t="shared" si="0"/>
        <v>27350199</v>
      </c>
    </row>
    <row r="28" spans="1:13" s="281" customFormat="1" ht="15" customHeight="1" x14ac:dyDescent="0.25">
      <c r="A28" s="625" t="s">
        <v>27</v>
      </c>
      <c r="B28" s="629" t="s">
        <v>181</v>
      </c>
      <c r="C28" s="629" t="s">
        <v>182</v>
      </c>
      <c r="D28" s="632">
        <v>0.95</v>
      </c>
      <c r="E28" s="126" t="s">
        <v>140</v>
      </c>
      <c r="F28" s="112">
        <v>0</v>
      </c>
      <c r="G28" s="112">
        <f>14088912+511994-2469250</f>
        <v>12131656</v>
      </c>
      <c r="H28" s="112">
        <v>2469250</v>
      </c>
      <c r="I28" s="112">
        <v>1657519</v>
      </c>
      <c r="J28" s="112">
        <f>SUM(F28:I28)</f>
        <v>16258425</v>
      </c>
      <c r="K28" s="112">
        <v>919112</v>
      </c>
      <c r="L28" s="280">
        <f t="shared" si="0"/>
        <v>17177537</v>
      </c>
    </row>
    <row r="29" spans="1:13" ht="15" customHeight="1" x14ac:dyDescent="0.25">
      <c r="A29" s="626"/>
      <c r="B29" s="629"/>
      <c r="C29" s="629"/>
      <c r="D29" s="632"/>
      <c r="E29" s="50" t="s">
        <v>141</v>
      </c>
      <c r="F29" s="118">
        <v>0</v>
      </c>
      <c r="G29" s="118">
        <v>0</v>
      </c>
      <c r="H29" s="118">
        <v>0</v>
      </c>
      <c r="I29" s="118">
        <v>0</v>
      </c>
      <c r="J29" s="118">
        <v>0</v>
      </c>
      <c r="K29" s="118">
        <v>0</v>
      </c>
      <c r="L29" s="125">
        <f t="shared" si="0"/>
        <v>0</v>
      </c>
    </row>
    <row r="30" spans="1:13" ht="15" customHeight="1" thickBot="1" x14ac:dyDescent="0.3">
      <c r="A30" s="627"/>
      <c r="B30" s="630"/>
      <c r="C30" s="630"/>
      <c r="D30" s="633"/>
      <c r="E30" s="402" t="s">
        <v>105</v>
      </c>
      <c r="F30" s="403">
        <f t="shared" ref="F30:K30" si="6">SUM(F28:F29)</f>
        <v>0</v>
      </c>
      <c r="G30" s="403">
        <f t="shared" si="6"/>
        <v>12131656</v>
      </c>
      <c r="H30" s="403">
        <f t="shared" si="6"/>
        <v>2469250</v>
      </c>
      <c r="I30" s="403">
        <f t="shared" si="6"/>
        <v>1657519</v>
      </c>
      <c r="J30" s="403">
        <f t="shared" si="6"/>
        <v>16258425</v>
      </c>
      <c r="K30" s="403">
        <f t="shared" si="6"/>
        <v>919112</v>
      </c>
      <c r="L30" s="404">
        <f t="shared" si="0"/>
        <v>17177537</v>
      </c>
    </row>
    <row r="31" spans="1:13" ht="15" customHeight="1" x14ac:dyDescent="0.25">
      <c r="A31" s="625" t="s">
        <v>81</v>
      </c>
      <c r="B31" s="646" t="s">
        <v>268</v>
      </c>
      <c r="C31" s="629" t="s">
        <v>269</v>
      </c>
      <c r="D31" s="632">
        <v>0.9395</v>
      </c>
      <c r="E31" s="55" t="s">
        <v>140</v>
      </c>
      <c r="F31" s="111">
        <v>0</v>
      </c>
      <c r="G31" s="111">
        <f>1878027+2843869</f>
        <v>4721896</v>
      </c>
      <c r="H31" s="111">
        <v>0</v>
      </c>
      <c r="I31" s="111">
        <v>0</v>
      </c>
      <c r="J31" s="111">
        <f>SUM(F31:I31)</f>
        <v>4721896</v>
      </c>
      <c r="K31" s="111">
        <v>119874</v>
      </c>
      <c r="L31" s="116">
        <f t="shared" si="0"/>
        <v>4841770</v>
      </c>
    </row>
    <row r="32" spans="1:13" ht="15" customHeight="1" x14ac:dyDescent="0.25">
      <c r="A32" s="626"/>
      <c r="B32" s="646"/>
      <c r="C32" s="629"/>
      <c r="D32" s="632"/>
      <c r="E32" s="50" t="s">
        <v>141</v>
      </c>
      <c r="F32" s="118">
        <v>0</v>
      </c>
      <c r="G32" s="118">
        <v>0</v>
      </c>
      <c r="H32" s="118">
        <v>0</v>
      </c>
      <c r="I32" s="118">
        <v>0</v>
      </c>
      <c r="J32" s="118">
        <v>0</v>
      </c>
      <c r="K32" s="118">
        <v>0</v>
      </c>
      <c r="L32" s="125">
        <f t="shared" si="0"/>
        <v>0</v>
      </c>
    </row>
    <row r="33" spans="1:12" ht="15" customHeight="1" thickBot="1" x14ac:dyDescent="0.3">
      <c r="A33" s="627"/>
      <c r="B33" s="647"/>
      <c r="C33" s="630"/>
      <c r="D33" s="633"/>
      <c r="E33" s="402" t="s">
        <v>105</v>
      </c>
      <c r="F33" s="403">
        <f t="shared" ref="F33:K33" si="7">SUM(F31:F32)</f>
        <v>0</v>
      </c>
      <c r="G33" s="403">
        <f t="shared" si="7"/>
        <v>4721896</v>
      </c>
      <c r="H33" s="403">
        <f t="shared" si="7"/>
        <v>0</v>
      </c>
      <c r="I33" s="403">
        <f t="shared" si="7"/>
        <v>0</v>
      </c>
      <c r="J33" s="403">
        <f t="shared" si="7"/>
        <v>4721896</v>
      </c>
      <c r="K33" s="403">
        <f t="shared" si="7"/>
        <v>119874</v>
      </c>
      <c r="L33" s="404">
        <f t="shared" si="0"/>
        <v>4841770</v>
      </c>
    </row>
    <row r="34" spans="1:12" s="281" customFormat="1" ht="15" customHeight="1" x14ac:dyDescent="0.25">
      <c r="A34" s="625" t="s">
        <v>82</v>
      </c>
      <c r="B34" s="655" t="s">
        <v>270</v>
      </c>
      <c r="C34" s="657">
        <v>101035163</v>
      </c>
      <c r="D34" s="632">
        <v>0.60099999999999998</v>
      </c>
      <c r="E34" s="126" t="s">
        <v>140</v>
      </c>
      <c r="F34" s="112">
        <v>0</v>
      </c>
      <c r="G34" s="112">
        <f>11118800-500000</f>
        <v>10618800</v>
      </c>
      <c r="H34" s="112">
        <v>500000</v>
      </c>
      <c r="I34" s="112">
        <v>0</v>
      </c>
      <c r="J34" s="112">
        <f>SUM(F34:I34)</f>
        <v>11118800</v>
      </c>
      <c r="K34" s="112">
        <v>7381933</v>
      </c>
      <c r="L34" s="280">
        <f t="shared" si="0"/>
        <v>18500733</v>
      </c>
    </row>
    <row r="35" spans="1:12" ht="15" customHeight="1" x14ac:dyDescent="0.25">
      <c r="A35" s="626"/>
      <c r="B35" s="655"/>
      <c r="C35" s="657"/>
      <c r="D35" s="632"/>
      <c r="E35" s="50" t="s">
        <v>141</v>
      </c>
      <c r="F35" s="118">
        <v>0</v>
      </c>
      <c r="G35" s="118">
        <v>0</v>
      </c>
      <c r="H35" s="118">
        <v>0</v>
      </c>
      <c r="I35" s="118">
        <v>0</v>
      </c>
      <c r="J35" s="118">
        <v>0</v>
      </c>
      <c r="K35" s="118">
        <v>0</v>
      </c>
      <c r="L35" s="125">
        <f t="shared" si="0"/>
        <v>0</v>
      </c>
    </row>
    <row r="36" spans="1:12" ht="15" customHeight="1" thickBot="1" x14ac:dyDescent="0.3">
      <c r="A36" s="627"/>
      <c r="B36" s="656"/>
      <c r="C36" s="658"/>
      <c r="D36" s="633"/>
      <c r="E36" s="402" t="s">
        <v>105</v>
      </c>
      <c r="F36" s="403">
        <f t="shared" ref="F36:K36" si="8">SUM(F34:F35)</f>
        <v>0</v>
      </c>
      <c r="G36" s="403">
        <f t="shared" si="8"/>
        <v>10618800</v>
      </c>
      <c r="H36" s="403">
        <f t="shared" si="8"/>
        <v>500000</v>
      </c>
      <c r="I36" s="403">
        <f t="shared" si="8"/>
        <v>0</v>
      </c>
      <c r="J36" s="403">
        <f t="shared" si="8"/>
        <v>11118800</v>
      </c>
      <c r="K36" s="403">
        <f t="shared" si="8"/>
        <v>7381933</v>
      </c>
      <c r="L36" s="404">
        <f t="shared" si="0"/>
        <v>18500733</v>
      </c>
    </row>
    <row r="37" spans="1:12" s="281" customFormat="1" ht="15" customHeight="1" x14ac:dyDescent="0.25">
      <c r="A37" s="625" t="s">
        <v>93</v>
      </c>
      <c r="B37" s="655" t="s">
        <v>322</v>
      </c>
      <c r="C37" s="659">
        <v>101074095</v>
      </c>
      <c r="D37" s="632">
        <v>0.9</v>
      </c>
      <c r="E37" s="126" t="s">
        <v>140</v>
      </c>
      <c r="F37" s="112">
        <v>0</v>
      </c>
      <c r="G37" s="112">
        <f>6654762+4242582</f>
        <v>10897344</v>
      </c>
      <c r="H37" s="112">
        <v>0</v>
      </c>
      <c r="I37" s="112">
        <v>0</v>
      </c>
      <c r="J37" s="112">
        <f>SUM(F37:I37)</f>
        <v>10897344</v>
      </c>
      <c r="K37" s="112">
        <v>739418</v>
      </c>
      <c r="L37" s="280">
        <f t="shared" si="0"/>
        <v>11636762</v>
      </c>
    </row>
    <row r="38" spans="1:12" ht="15" customHeight="1" x14ac:dyDescent="0.25">
      <c r="A38" s="626"/>
      <c r="B38" s="655"/>
      <c r="C38" s="657"/>
      <c r="D38" s="632"/>
      <c r="E38" s="50" t="s">
        <v>141</v>
      </c>
      <c r="F38" s="118">
        <v>0</v>
      </c>
      <c r="G38" s="118">
        <v>0</v>
      </c>
      <c r="H38" s="118">
        <v>0</v>
      </c>
      <c r="I38" s="118">
        <v>0</v>
      </c>
      <c r="J38" s="118">
        <v>0</v>
      </c>
      <c r="K38" s="118">
        <v>0</v>
      </c>
      <c r="L38" s="125">
        <f t="shared" si="0"/>
        <v>0</v>
      </c>
    </row>
    <row r="39" spans="1:12" ht="15" customHeight="1" thickBot="1" x14ac:dyDescent="0.3">
      <c r="A39" s="627"/>
      <c r="B39" s="656"/>
      <c r="C39" s="658"/>
      <c r="D39" s="633"/>
      <c r="E39" s="402" t="s">
        <v>105</v>
      </c>
      <c r="F39" s="403">
        <f t="shared" ref="F39:K39" si="9">SUM(F37:F38)</f>
        <v>0</v>
      </c>
      <c r="G39" s="403">
        <f t="shared" si="9"/>
        <v>10897344</v>
      </c>
      <c r="H39" s="403">
        <f t="shared" si="9"/>
        <v>0</v>
      </c>
      <c r="I39" s="403">
        <f t="shared" si="9"/>
        <v>0</v>
      </c>
      <c r="J39" s="403">
        <f t="shared" si="9"/>
        <v>10897344</v>
      </c>
      <c r="K39" s="403">
        <f t="shared" si="9"/>
        <v>739418</v>
      </c>
      <c r="L39" s="404">
        <f t="shared" si="0"/>
        <v>11636762</v>
      </c>
    </row>
    <row r="40" spans="1:12" ht="15" customHeight="1" x14ac:dyDescent="0.25">
      <c r="A40" s="625" t="s">
        <v>131</v>
      </c>
      <c r="B40" s="648" t="s">
        <v>111</v>
      </c>
      <c r="C40" s="649" t="s">
        <v>160</v>
      </c>
      <c r="D40" s="631">
        <v>1</v>
      </c>
      <c r="E40" s="90" t="s">
        <v>140</v>
      </c>
      <c r="F40" s="111">
        <f>2413535+1508205</f>
        <v>3921740</v>
      </c>
      <c r="G40" s="111">
        <v>0</v>
      </c>
      <c r="H40" s="111">
        <v>0</v>
      </c>
      <c r="I40" s="111">
        <v>0</v>
      </c>
      <c r="J40" s="111">
        <f>SUM(F40:I40)</f>
        <v>3921740</v>
      </c>
      <c r="K40" s="111">
        <v>0</v>
      </c>
      <c r="L40" s="113">
        <f t="shared" si="0"/>
        <v>3921740</v>
      </c>
    </row>
    <row r="41" spans="1:12" ht="15" customHeight="1" x14ac:dyDescent="0.25">
      <c r="A41" s="626"/>
      <c r="B41" s="646"/>
      <c r="C41" s="650"/>
      <c r="D41" s="632"/>
      <c r="E41" s="50" t="s">
        <v>141</v>
      </c>
      <c r="F41" s="118">
        <f>3939167+2644270+33900000</f>
        <v>40483437</v>
      </c>
      <c r="G41" s="118">
        <v>0</v>
      </c>
      <c r="H41" s="118">
        <v>0</v>
      </c>
      <c r="I41" s="118">
        <v>0</v>
      </c>
      <c r="J41" s="114">
        <f>SUM(F41:I41)</f>
        <v>40483437</v>
      </c>
      <c r="K41" s="118">
        <v>0</v>
      </c>
      <c r="L41" s="125">
        <f t="shared" si="0"/>
        <v>40483437</v>
      </c>
    </row>
    <row r="42" spans="1:12" ht="15" customHeight="1" thickBot="1" x14ac:dyDescent="0.3">
      <c r="A42" s="627"/>
      <c r="B42" s="647"/>
      <c r="C42" s="651"/>
      <c r="D42" s="633"/>
      <c r="E42" s="402" t="s">
        <v>105</v>
      </c>
      <c r="F42" s="403">
        <f t="shared" ref="F42:K42" si="10">SUM(F40:F41)</f>
        <v>44405177</v>
      </c>
      <c r="G42" s="403">
        <f t="shared" si="10"/>
        <v>0</v>
      </c>
      <c r="H42" s="403">
        <f t="shared" si="10"/>
        <v>0</v>
      </c>
      <c r="I42" s="403">
        <f t="shared" si="10"/>
        <v>0</v>
      </c>
      <c r="J42" s="403">
        <f t="shared" si="10"/>
        <v>44405177</v>
      </c>
      <c r="K42" s="403">
        <f t="shared" si="10"/>
        <v>0</v>
      </c>
      <c r="L42" s="404">
        <f t="shared" si="0"/>
        <v>44405177</v>
      </c>
    </row>
    <row r="43" spans="1:12" ht="15" customHeight="1" x14ac:dyDescent="0.25">
      <c r="A43" s="625" t="s">
        <v>132</v>
      </c>
      <c r="B43" s="648" t="s">
        <v>149</v>
      </c>
      <c r="C43" s="652" t="s">
        <v>161</v>
      </c>
      <c r="D43" s="631">
        <v>1</v>
      </c>
      <c r="E43" s="90" t="s">
        <v>140</v>
      </c>
      <c r="F43" s="111">
        <v>0</v>
      </c>
      <c r="G43" s="111">
        <v>0</v>
      </c>
      <c r="H43" s="111">
        <v>0</v>
      </c>
      <c r="I43" s="111">
        <v>170533037</v>
      </c>
      <c r="J43" s="111">
        <f>SUM(F43:I43)</f>
        <v>170533037</v>
      </c>
      <c r="K43" s="111">
        <v>0</v>
      </c>
      <c r="L43" s="113">
        <f t="shared" si="0"/>
        <v>170533037</v>
      </c>
    </row>
    <row r="44" spans="1:12" ht="15" customHeight="1" x14ac:dyDescent="0.25">
      <c r="A44" s="626"/>
      <c r="B44" s="646"/>
      <c r="C44" s="653"/>
      <c r="D44" s="632"/>
      <c r="E44" s="50" t="s">
        <v>141</v>
      </c>
      <c r="F44" s="118">
        <v>0</v>
      </c>
      <c r="G44" s="118">
        <v>0</v>
      </c>
      <c r="H44" s="118">
        <v>0</v>
      </c>
      <c r="I44" s="118">
        <v>0</v>
      </c>
      <c r="J44" s="118">
        <v>0</v>
      </c>
      <c r="K44" s="118">
        <v>0</v>
      </c>
      <c r="L44" s="125">
        <f t="shared" si="0"/>
        <v>0</v>
      </c>
    </row>
    <row r="45" spans="1:12" ht="15" customHeight="1" thickBot="1" x14ac:dyDescent="0.3">
      <c r="A45" s="627"/>
      <c r="B45" s="647"/>
      <c r="C45" s="654"/>
      <c r="D45" s="633"/>
      <c r="E45" s="402" t="s">
        <v>105</v>
      </c>
      <c r="F45" s="403">
        <f t="shared" ref="F45:K45" si="11">SUM(F43:F44)</f>
        <v>0</v>
      </c>
      <c r="G45" s="403">
        <f t="shared" si="11"/>
        <v>0</v>
      </c>
      <c r="H45" s="403">
        <f t="shared" si="11"/>
        <v>0</v>
      </c>
      <c r="I45" s="403">
        <f t="shared" si="11"/>
        <v>170533037</v>
      </c>
      <c r="J45" s="403">
        <f t="shared" si="11"/>
        <v>170533037</v>
      </c>
      <c r="K45" s="403">
        <f t="shared" si="11"/>
        <v>0</v>
      </c>
      <c r="L45" s="404">
        <f t="shared" si="0"/>
        <v>170533037</v>
      </c>
    </row>
    <row r="46" spans="1:12" ht="15" customHeight="1" x14ac:dyDescent="0.25">
      <c r="A46" s="625" t="s">
        <v>136</v>
      </c>
      <c r="B46" s="664" t="s">
        <v>183</v>
      </c>
      <c r="C46" s="649" t="s">
        <v>184</v>
      </c>
      <c r="D46" s="631">
        <v>1</v>
      </c>
      <c r="E46" s="90" t="s">
        <v>140</v>
      </c>
      <c r="F46" s="111">
        <v>370719560</v>
      </c>
      <c r="G46" s="111">
        <v>0</v>
      </c>
      <c r="H46" s="111">
        <v>0</v>
      </c>
      <c r="I46" s="111">
        <v>304217826</v>
      </c>
      <c r="J46" s="111">
        <f>SUM(F46:I46)</f>
        <v>674937386</v>
      </c>
      <c r="K46" s="111">
        <v>0</v>
      </c>
      <c r="L46" s="113">
        <f t="shared" si="0"/>
        <v>674937386</v>
      </c>
    </row>
    <row r="47" spans="1:12" ht="15" customHeight="1" x14ac:dyDescent="0.25">
      <c r="A47" s="626"/>
      <c r="B47" s="665"/>
      <c r="C47" s="650"/>
      <c r="D47" s="632"/>
      <c r="E47" s="50" t="s">
        <v>141</v>
      </c>
      <c r="F47" s="118">
        <v>0</v>
      </c>
      <c r="G47" s="118">
        <v>0</v>
      </c>
      <c r="H47" s="118">
        <v>0</v>
      </c>
      <c r="I47" s="118">
        <v>0</v>
      </c>
      <c r="J47" s="118">
        <v>0</v>
      </c>
      <c r="K47" s="118">
        <v>0</v>
      </c>
      <c r="L47" s="125">
        <f t="shared" si="0"/>
        <v>0</v>
      </c>
    </row>
    <row r="48" spans="1:12" ht="15" customHeight="1" thickBot="1" x14ac:dyDescent="0.3">
      <c r="A48" s="627"/>
      <c r="B48" s="666"/>
      <c r="C48" s="651"/>
      <c r="D48" s="633"/>
      <c r="E48" s="402" t="s">
        <v>105</v>
      </c>
      <c r="F48" s="403">
        <f t="shared" ref="F48:K48" si="12">SUM(F46:F47)</f>
        <v>370719560</v>
      </c>
      <c r="G48" s="403">
        <f t="shared" si="12"/>
        <v>0</v>
      </c>
      <c r="H48" s="403">
        <f t="shared" si="12"/>
        <v>0</v>
      </c>
      <c r="I48" s="403">
        <f t="shared" si="12"/>
        <v>304217826</v>
      </c>
      <c r="J48" s="403">
        <f t="shared" si="12"/>
        <v>674937386</v>
      </c>
      <c r="K48" s="403">
        <f t="shared" si="12"/>
        <v>0</v>
      </c>
      <c r="L48" s="404">
        <f t="shared" si="0"/>
        <v>674937386</v>
      </c>
    </row>
    <row r="49" spans="1:12" ht="15" customHeight="1" x14ac:dyDescent="0.25">
      <c r="A49" s="625" t="s">
        <v>154</v>
      </c>
      <c r="B49" s="664" t="s">
        <v>271</v>
      </c>
      <c r="C49" s="649" t="s">
        <v>272</v>
      </c>
      <c r="D49" s="631">
        <v>1</v>
      </c>
      <c r="E49" s="90" t="s">
        <v>140</v>
      </c>
      <c r="F49" s="111">
        <v>6232150</v>
      </c>
      <c r="G49" s="111">
        <v>0</v>
      </c>
      <c r="H49" s="111">
        <v>0</v>
      </c>
      <c r="I49" s="111">
        <v>48119772</v>
      </c>
      <c r="J49" s="111">
        <f>SUM(F49:I49)</f>
        <v>54351922</v>
      </c>
      <c r="K49" s="111">
        <v>0</v>
      </c>
      <c r="L49" s="113">
        <f t="shared" si="0"/>
        <v>54351922</v>
      </c>
    </row>
    <row r="50" spans="1:12" ht="15" customHeight="1" x14ac:dyDescent="0.25">
      <c r="A50" s="626"/>
      <c r="B50" s="665"/>
      <c r="C50" s="650"/>
      <c r="D50" s="632"/>
      <c r="E50" s="50" t="s">
        <v>141</v>
      </c>
      <c r="F50" s="118">
        <v>0</v>
      </c>
      <c r="G50" s="118">
        <v>0</v>
      </c>
      <c r="H50" s="118">
        <v>0</v>
      </c>
      <c r="I50" s="118">
        <v>0</v>
      </c>
      <c r="J50" s="118">
        <v>0</v>
      </c>
      <c r="K50" s="118">
        <v>0</v>
      </c>
      <c r="L50" s="125">
        <f t="shared" si="0"/>
        <v>0</v>
      </c>
    </row>
    <row r="51" spans="1:12" ht="15" customHeight="1" thickBot="1" x14ac:dyDescent="0.3">
      <c r="A51" s="627"/>
      <c r="B51" s="666"/>
      <c r="C51" s="651"/>
      <c r="D51" s="633"/>
      <c r="E51" s="402" t="s">
        <v>105</v>
      </c>
      <c r="F51" s="403">
        <f t="shared" ref="F51:K51" si="13">SUM(F49:F50)</f>
        <v>6232150</v>
      </c>
      <c r="G51" s="403">
        <f t="shared" si="13"/>
        <v>0</v>
      </c>
      <c r="H51" s="403">
        <f t="shared" si="13"/>
        <v>0</v>
      </c>
      <c r="I51" s="403">
        <f t="shared" si="13"/>
        <v>48119772</v>
      </c>
      <c r="J51" s="403">
        <f t="shared" si="13"/>
        <v>54351922</v>
      </c>
      <c r="K51" s="403">
        <f t="shared" si="13"/>
        <v>0</v>
      </c>
      <c r="L51" s="404">
        <f t="shared" si="0"/>
        <v>54351922</v>
      </c>
    </row>
    <row r="52" spans="1:12" ht="15" customHeight="1" x14ac:dyDescent="0.25">
      <c r="A52" s="625" t="s">
        <v>162</v>
      </c>
      <c r="B52" s="660" t="s">
        <v>323</v>
      </c>
      <c r="C52" s="661" t="s">
        <v>324</v>
      </c>
      <c r="D52" s="631">
        <v>1</v>
      </c>
      <c r="E52" s="90" t="s">
        <v>140</v>
      </c>
      <c r="F52" s="111">
        <f>106831282+27483222</f>
        <v>134314504</v>
      </c>
      <c r="G52" s="111">
        <v>0</v>
      </c>
      <c r="H52" s="111">
        <f>27483222-27483222</f>
        <v>0</v>
      </c>
      <c r="I52" s="111">
        <v>0</v>
      </c>
      <c r="J52" s="111">
        <f>SUM(F52:I52)</f>
        <v>134314504</v>
      </c>
      <c r="K52" s="111">
        <v>0</v>
      </c>
      <c r="L52" s="113">
        <f t="shared" si="0"/>
        <v>134314504</v>
      </c>
    </row>
    <row r="53" spans="1:12" ht="15" customHeight="1" x14ac:dyDescent="0.25">
      <c r="A53" s="626"/>
      <c r="B53" s="655"/>
      <c r="C53" s="662"/>
      <c r="D53" s="632"/>
      <c r="E53" s="50" t="s">
        <v>141</v>
      </c>
      <c r="F53" s="118">
        <v>0</v>
      </c>
      <c r="G53" s="118">
        <v>0</v>
      </c>
      <c r="H53" s="118">
        <v>0</v>
      </c>
      <c r="I53" s="118">
        <v>0</v>
      </c>
      <c r="J53" s="114">
        <f>SUM(F53:I53)</f>
        <v>0</v>
      </c>
      <c r="K53" s="118">
        <v>0</v>
      </c>
      <c r="L53" s="125">
        <f t="shared" si="0"/>
        <v>0</v>
      </c>
    </row>
    <row r="54" spans="1:12" ht="15" customHeight="1" thickBot="1" x14ac:dyDescent="0.3">
      <c r="A54" s="627"/>
      <c r="B54" s="656"/>
      <c r="C54" s="663"/>
      <c r="D54" s="633"/>
      <c r="E54" s="402" t="s">
        <v>105</v>
      </c>
      <c r="F54" s="403">
        <f t="shared" ref="F54:K54" si="14">SUM(F52:F53)</f>
        <v>134314504</v>
      </c>
      <c r="G54" s="403">
        <f t="shared" si="14"/>
        <v>0</v>
      </c>
      <c r="H54" s="403">
        <f t="shared" si="14"/>
        <v>0</v>
      </c>
      <c r="I54" s="403">
        <f t="shared" si="14"/>
        <v>0</v>
      </c>
      <c r="J54" s="403">
        <f t="shared" si="14"/>
        <v>134314504</v>
      </c>
      <c r="K54" s="403">
        <f t="shared" si="14"/>
        <v>0</v>
      </c>
      <c r="L54" s="404">
        <f t="shared" si="0"/>
        <v>134314504</v>
      </c>
    </row>
    <row r="55" spans="1:12" ht="15" customHeight="1" x14ac:dyDescent="0.25">
      <c r="A55" s="625" t="s">
        <v>165</v>
      </c>
      <c r="B55" s="660" t="s">
        <v>325</v>
      </c>
      <c r="C55" s="661" t="s">
        <v>326</v>
      </c>
      <c r="D55" s="631">
        <v>1</v>
      </c>
      <c r="E55" s="90" t="s">
        <v>140</v>
      </c>
      <c r="F55" s="111">
        <v>90000000</v>
      </c>
      <c r="G55" s="111">
        <v>0</v>
      </c>
      <c r="H55" s="111">
        <v>10000000</v>
      </c>
      <c r="I55" s="111">
        <v>0</v>
      </c>
      <c r="J55" s="111">
        <f>SUM(F55:I55)</f>
        <v>100000000</v>
      </c>
      <c r="K55" s="111">
        <v>0</v>
      </c>
      <c r="L55" s="113">
        <f t="shared" si="0"/>
        <v>100000000</v>
      </c>
    </row>
    <row r="56" spans="1:12" ht="15" customHeight="1" x14ac:dyDescent="0.25">
      <c r="A56" s="626"/>
      <c r="B56" s="655"/>
      <c r="C56" s="662"/>
      <c r="D56" s="632"/>
      <c r="E56" s="50" t="s">
        <v>141</v>
      </c>
      <c r="F56" s="118">
        <v>0</v>
      </c>
      <c r="G56" s="118">
        <v>0</v>
      </c>
      <c r="H56" s="118">
        <v>0</v>
      </c>
      <c r="I56" s="118">
        <v>0</v>
      </c>
      <c r="J56" s="114">
        <f>SUM(F56:I56)</f>
        <v>0</v>
      </c>
      <c r="K56" s="118">
        <v>0</v>
      </c>
      <c r="L56" s="125">
        <f t="shared" si="0"/>
        <v>0</v>
      </c>
    </row>
    <row r="57" spans="1:12" ht="15" customHeight="1" thickBot="1" x14ac:dyDescent="0.3">
      <c r="A57" s="627"/>
      <c r="B57" s="656"/>
      <c r="C57" s="663"/>
      <c r="D57" s="633"/>
      <c r="E57" s="402" t="s">
        <v>105</v>
      </c>
      <c r="F57" s="403">
        <f t="shared" ref="F57:K57" si="15">SUM(F55:F56)</f>
        <v>90000000</v>
      </c>
      <c r="G57" s="403">
        <f t="shared" si="15"/>
        <v>0</v>
      </c>
      <c r="H57" s="403">
        <f t="shared" si="15"/>
        <v>10000000</v>
      </c>
      <c r="I57" s="403">
        <f t="shared" si="15"/>
        <v>0</v>
      </c>
      <c r="J57" s="403">
        <f t="shared" si="15"/>
        <v>100000000</v>
      </c>
      <c r="K57" s="403">
        <f t="shared" si="15"/>
        <v>0</v>
      </c>
      <c r="L57" s="404">
        <f t="shared" si="0"/>
        <v>100000000</v>
      </c>
    </row>
    <row r="58" spans="1:12" ht="15" customHeight="1" x14ac:dyDescent="0.25">
      <c r="A58" s="625" t="s">
        <v>166</v>
      </c>
      <c r="B58" s="648" t="s">
        <v>163</v>
      </c>
      <c r="C58" s="649" t="s">
        <v>164</v>
      </c>
      <c r="D58" s="631">
        <v>1</v>
      </c>
      <c r="E58" s="55" t="s">
        <v>140</v>
      </c>
      <c r="F58" s="111">
        <f>30621+642383</f>
        <v>673004</v>
      </c>
      <c r="G58" s="111">
        <v>0</v>
      </c>
      <c r="H58" s="111">
        <v>0</v>
      </c>
      <c r="I58" s="111">
        <v>0</v>
      </c>
      <c r="J58" s="111">
        <f>SUM(F58:I58)</f>
        <v>673004</v>
      </c>
      <c r="K58" s="111">
        <v>0</v>
      </c>
      <c r="L58" s="116">
        <f t="shared" si="0"/>
        <v>673004</v>
      </c>
    </row>
    <row r="59" spans="1:12" ht="15" customHeight="1" x14ac:dyDescent="0.25">
      <c r="A59" s="626"/>
      <c r="B59" s="646"/>
      <c r="C59" s="650"/>
      <c r="D59" s="632"/>
      <c r="E59" s="50" t="s">
        <v>141</v>
      </c>
      <c r="F59" s="118">
        <v>0</v>
      </c>
      <c r="G59" s="118">
        <v>0</v>
      </c>
      <c r="H59" s="118">
        <v>0</v>
      </c>
      <c r="I59" s="118">
        <v>0</v>
      </c>
      <c r="J59" s="118">
        <v>0</v>
      </c>
      <c r="K59" s="118">
        <v>0</v>
      </c>
      <c r="L59" s="125">
        <f t="shared" si="0"/>
        <v>0</v>
      </c>
    </row>
    <row r="60" spans="1:12" ht="15" customHeight="1" thickBot="1" x14ac:dyDescent="0.3">
      <c r="A60" s="627"/>
      <c r="B60" s="647"/>
      <c r="C60" s="651"/>
      <c r="D60" s="633"/>
      <c r="E60" s="402" t="s">
        <v>105</v>
      </c>
      <c r="F60" s="403">
        <f t="shared" ref="F60:K60" si="16">SUM(F58:F59)</f>
        <v>673004</v>
      </c>
      <c r="G60" s="403">
        <f t="shared" si="16"/>
        <v>0</v>
      </c>
      <c r="H60" s="403">
        <f t="shared" si="16"/>
        <v>0</v>
      </c>
      <c r="I60" s="403">
        <f t="shared" si="16"/>
        <v>0</v>
      </c>
      <c r="J60" s="403">
        <f t="shared" si="16"/>
        <v>673004</v>
      </c>
      <c r="K60" s="403">
        <f t="shared" si="16"/>
        <v>0</v>
      </c>
      <c r="L60" s="404">
        <f t="shared" si="0"/>
        <v>673004</v>
      </c>
    </row>
    <row r="61" spans="1:12" ht="15" customHeight="1" x14ac:dyDescent="0.25">
      <c r="A61" s="625" t="s">
        <v>169</v>
      </c>
      <c r="B61" s="648" t="s">
        <v>167</v>
      </c>
      <c r="C61" s="649" t="s">
        <v>168</v>
      </c>
      <c r="D61" s="631">
        <v>1</v>
      </c>
      <c r="E61" s="55" t="s">
        <v>140</v>
      </c>
      <c r="F61" s="111">
        <f>122000+1470724</f>
        <v>1592724</v>
      </c>
      <c r="G61" s="111">
        <v>0</v>
      </c>
      <c r="H61" s="111">
        <v>0</v>
      </c>
      <c r="I61" s="111">
        <v>0</v>
      </c>
      <c r="J61" s="111">
        <f>SUM(F61:I61)</f>
        <v>1592724</v>
      </c>
      <c r="K61" s="111">
        <v>0</v>
      </c>
      <c r="L61" s="116">
        <f t="shared" si="0"/>
        <v>1592724</v>
      </c>
    </row>
    <row r="62" spans="1:12" ht="15" customHeight="1" x14ac:dyDescent="0.25">
      <c r="A62" s="626"/>
      <c r="B62" s="646"/>
      <c r="C62" s="650"/>
      <c r="D62" s="632"/>
      <c r="E62" s="50" t="s">
        <v>141</v>
      </c>
      <c r="F62" s="118">
        <v>0</v>
      </c>
      <c r="G62" s="118">
        <v>0</v>
      </c>
      <c r="H62" s="118">
        <v>0</v>
      </c>
      <c r="I62" s="118">
        <v>0</v>
      </c>
      <c r="J62" s="118">
        <v>0</v>
      </c>
      <c r="K62" s="118">
        <v>0</v>
      </c>
      <c r="L62" s="125">
        <f t="shared" si="0"/>
        <v>0</v>
      </c>
    </row>
    <row r="63" spans="1:12" ht="15" customHeight="1" thickBot="1" x14ac:dyDescent="0.3">
      <c r="A63" s="627"/>
      <c r="B63" s="647"/>
      <c r="C63" s="651"/>
      <c r="D63" s="633"/>
      <c r="E63" s="402" t="s">
        <v>105</v>
      </c>
      <c r="F63" s="403">
        <f t="shared" ref="F63:K63" si="17">SUM(F61:F62)</f>
        <v>1592724</v>
      </c>
      <c r="G63" s="403">
        <f t="shared" si="17"/>
        <v>0</v>
      </c>
      <c r="H63" s="403">
        <f t="shared" si="17"/>
        <v>0</v>
      </c>
      <c r="I63" s="403">
        <f t="shared" si="17"/>
        <v>0</v>
      </c>
      <c r="J63" s="403">
        <f t="shared" si="17"/>
        <v>1592724</v>
      </c>
      <c r="K63" s="403">
        <f t="shared" si="17"/>
        <v>0</v>
      </c>
      <c r="L63" s="404">
        <f t="shared" si="0"/>
        <v>1592724</v>
      </c>
    </row>
    <row r="64" spans="1:12" ht="15" customHeight="1" x14ac:dyDescent="0.25">
      <c r="A64" s="625" t="s">
        <v>170</v>
      </c>
      <c r="B64" s="648" t="s">
        <v>189</v>
      </c>
      <c r="C64" s="652" t="s">
        <v>190</v>
      </c>
      <c r="D64" s="631">
        <v>1</v>
      </c>
      <c r="E64" s="90" t="s">
        <v>140</v>
      </c>
      <c r="F64" s="111">
        <v>4838032</v>
      </c>
      <c r="G64" s="111">
        <v>0</v>
      </c>
      <c r="H64" s="111">
        <v>0</v>
      </c>
      <c r="I64" s="111">
        <v>2660891</v>
      </c>
      <c r="J64" s="111">
        <f>SUM(F64:I64)</f>
        <v>7498923</v>
      </c>
      <c r="K64" s="111">
        <v>0</v>
      </c>
      <c r="L64" s="113">
        <f t="shared" si="0"/>
        <v>7498923</v>
      </c>
    </row>
    <row r="65" spans="1:12" ht="15" customHeight="1" x14ac:dyDescent="0.25">
      <c r="A65" s="626"/>
      <c r="B65" s="646"/>
      <c r="C65" s="653"/>
      <c r="D65" s="632"/>
      <c r="E65" s="50" t="s">
        <v>141</v>
      </c>
      <c r="F65" s="118">
        <v>0</v>
      </c>
      <c r="G65" s="118">
        <v>0</v>
      </c>
      <c r="H65" s="118">
        <v>0</v>
      </c>
      <c r="I65" s="118">
        <v>0</v>
      </c>
      <c r="J65" s="118">
        <v>0</v>
      </c>
      <c r="K65" s="118">
        <v>0</v>
      </c>
      <c r="L65" s="125">
        <f t="shared" si="0"/>
        <v>0</v>
      </c>
    </row>
    <row r="66" spans="1:12" ht="15" customHeight="1" thickBot="1" x14ac:dyDescent="0.3">
      <c r="A66" s="627"/>
      <c r="B66" s="646"/>
      <c r="C66" s="653"/>
      <c r="D66" s="632"/>
      <c r="E66" s="402" t="s">
        <v>105</v>
      </c>
      <c r="F66" s="403">
        <f t="shared" ref="F66:K66" si="18">SUM(F64:F65)</f>
        <v>4838032</v>
      </c>
      <c r="G66" s="403">
        <f t="shared" si="18"/>
        <v>0</v>
      </c>
      <c r="H66" s="403">
        <f t="shared" si="18"/>
        <v>0</v>
      </c>
      <c r="I66" s="403">
        <f t="shared" si="18"/>
        <v>2660891</v>
      </c>
      <c r="J66" s="403">
        <f t="shared" si="18"/>
        <v>7498923</v>
      </c>
      <c r="K66" s="403">
        <f t="shared" si="18"/>
        <v>0</v>
      </c>
      <c r="L66" s="404">
        <f t="shared" si="0"/>
        <v>7498923</v>
      </c>
    </row>
    <row r="67" spans="1:12" ht="15" customHeight="1" x14ac:dyDescent="0.25">
      <c r="A67" s="625" t="s">
        <v>185</v>
      </c>
      <c r="B67" s="664" t="s">
        <v>192</v>
      </c>
      <c r="C67" s="652" t="s">
        <v>193</v>
      </c>
      <c r="D67" s="631">
        <v>1</v>
      </c>
      <c r="E67" s="55" t="s">
        <v>140</v>
      </c>
      <c r="F67" s="111">
        <v>13883500</v>
      </c>
      <c r="G67" s="111">
        <v>0</v>
      </c>
      <c r="H67" s="111">
        <v>0</v>
      </c>
      <c r="I67" s="111">
        <v>1989777</v>
      </c>
      <c r="J67" s="111">
        <f>SUM(F67:I67)</f>
        <v>15873277</v>
      </c>
      <c r="K67" s="111">
        <v>0</v>
      </c>
      <c r="L67" s="116">
        <f t="shared" si="0"/>
        <v>15873277</v>
      </c>
    </row>
    <row r="68" spans="1:12" ht="15" customHeight="1" x14ac:dyDescent="0.25">
      <c r="A68" s="626"/>
      <c r="B68" s="665"/>
      <c r="C68" s="653"/>
      <c r="D68" s="632"/>
      <c r="E68" s="50" t="s">
        <v>141</v>
      </c>
      <c r="F68" s="118">
        <v>0</v>
      </c>
      <c r="G68" s="118">
        <v>0</v>
      </c>
      <c r="H68" s="118">
        <v>0</v>
      </c>
      <c r="I68" s="118">
        <v>0</v>
      </c>
      <c r="J68" s="118">
        <v>0</v>
      </c>
      <c r="K68" s="118">
        <v>0</v>
      </c>
      <c r="L68" s="125">
        <f t="shared" si="0"/>
        <v>0</v>
      </c>
    </row>
    <row r="69" spans="1:12" ht="15" customHeight="1" thickBot="1" x14ac:dyDescent="0.3">
      <c r="A69" s="627"/>
      <c r="B69" s="666"/>
      <c r="C69" s="654"/>
      <c r="D69" s="633"/>
      <c r="E69" s="402" t="s">
        <v>105</v>
      </c>
      <c r="F69" s="403">
        <f t="shared" ref="F69:K69" si="19">SUM(F67:F68)</f>
        <v>13883500</v>
      </c>
      <c r="G69" s="403">
        <f t="shared" si="19"/>
        <v>0</v>
      </c>
      <c r="H69" s="403">
        <f t="shared" si="19"/>
        <v>0</v>
      </c>
      <c r="I69" s="403">
        <f t="shared" si="19"/>
        <v>1989777</v>
      </c>
      <c r="J69" s="403">
        <f t="shared" si="19"/>
        <v>15873277</v>
      </c>
      <c r="K69" s="403">
        <f t="shared" si="19"/>
        <v>0</v>
      </c>
      <c r="L69" s="404">
        <f t="shared" si="0"/>
        <v>15873277</v>
      </c>
    </row>
    <row r="70" spans="1:12" ht="15" customHeight="1" x14ac:dyDescent="0.25">
      <c r="A70" s="625" t="s">
        <v>186</v>
      </c>
      <c r="B70" s="648" t="s">
        <v>195</v>
      </c>
      <c r="C70" s="652" t="s">
        <v>196</v>
      </c>
      <c r="D70" s="631">
        <v>1</v>
      </c>
      <c r="E70" s="90" t="s">
        <v>140</v>
      </c>
      <c r="F70" s="111">
        <v>20534778</v>
      </c>
      <c r="G70" s="111">
        <v>0</v>
      </c>
      <c r="H70" s="111">
        <v>0</v>
      </c>
      <c r="I70" s="111">
        <v>9431011</v>
      </c>
      <c r="J70" s="111">
        <f>SUM(F70:I70)</f>
        <v>29965789</v>
      </c>
      <c r="K70" s="111">
        <v>0</v>
      </c>
      <c r="L70" s="113">
        <f t="shared" si="0"/>
        <v>29965789</v>
      </c>
    </row>
    <row r="71" spans="1:12" ht="15" customHeight="1" x14ac:dyDescent="0.25">
      <c r="A71" s="626"/>
      <c r="B71" s="646"/>
      <c r="C71" s="653"/>
      <c r="D71" s="632"/>
      <c r="E71" s="50" t="s">
        <v>141</v>
      </c>
      <c r="F71" s="118">
        <v>0</v>
      </c>
      <c r="G71" s="118">
        <v>0</v>
      </c>
      <c r="H71" s="118">
        <v>0</v>
      </c>
      <c r="I71" s="118">
        <v>0</v>
      </c>
      <c r="J71" s="118">
        <v>0</v>
      </c>
      <c r="K71" s="118">
        <v>0</v>
      </c>
      <c r="L71" s="125">
        <f t="shared" si="0"/>
        <v>0</v>
      </c>
    </row>
    <row r="72" spans="1:12" ht="15" customHeight="1" thickBot="1" x14ac:dyDescent="0.3">
      <c r="A72" s="627"/>
      <c r="B72" s="647"/>
      <c r="C72" s="654"/>
      <c r="D72" s="633"/>
      <c r="E72" s="402" t="s">
        <v>105</v>
      </c>
      <c r="F72" s="403">
        <f t="shared" ref="F72:K72" si="20">SUM(F70:F71)</f>
        <v>20534778</v>
      </c>
      <c r="G72" s="403">
        <f t="shared" si="20"/>
        <v>0</v>
      </c>
      <c r="H72" s="403">
        <f t="shared" si="20"/>
        <v>0</v>
      </c>
      <c r="I72" s="403">
        <f t="shared" si="20"/>
        <v>9431011</v>
      </c>
      <c r="J72" s="403">
        <f t="shared" si="20"/>
        <v>29965789</v>
      </c>
      <c r="K72" s="403">
        <f t="shared" si="20"/>
        <v>0</v>
      </c>
      <c r="L72" s="404">
        <f t="shared" si="0"/>
        <v>29965789</v>
      </c>
    </row>
    <row r="73" spans="1:12" ht="15" customHeight="1" x14ac:dyDescent="0.25">
      <c r="A73" s="625" t="s">
        <v>187</v>
      </c>
      <c r="B73" s="648" t="s">
        <v>198</v>
      </c>
      <c r="C73" s="652" t="s">
        <v>199</v>
      </c>
      <c r="D73" s="631">
        <v>1</v>
      </c>
      <c r="E73" s="90" t="s">
        <v>140</v>
      </c>
      <c r="F73" s="111">
        <v>20975000</v>
      </c>
      <c r="G73" s="111">
        <v>0</v>
      </c>
      <c r="H73" s="111">
        <v>0</v>
      </c>
      <c r="I73" s="111">
        <v>8741100</v>
      </c>
      <c r="J73" s="111">
        <f>SUM(F73:I73)</f>
        <v>29716100</v>
      </c>
      <c r="K73" s="111">
        <v>0</v>
      </c>
      <c r="L73" s="113">
        <f t="shared" si="0"/>
        <v>29716100</v>
      </c>
    </row>
    <row r="74" spans="1:12" ht="15" customHeight="1" x14ac:dyDescent="0.25">
      <c r="A74" s="626"/>
      <c r="B74" s="646"/>
      <c r="C74" s="653"/>
      <c r="D74" s="632"/>
      <c r="E74" s="50" t="s">
        <v>141</v>
      </c>
      <c r="F74" s="118">
        <v>0</v>
      </c>
      <c r="G74" s="118">
        <v>0</v>
      </c>
      <c r="H74" s="118">
        <v>0</v>
      </c>
      <c r="I74" s="118">
        <v>0</v>
      </c>
      <c r="J74" s="118">
        <v>0</v>
      </c>
      <c r="K74" s="118">
        <v>0</v>
      </c>
      <c r="L74" s="125">
        <f t="shared" si="0"/>
        <v>0</v>
      </c>
    </row>
    <row r="75" spans="1:12" ht="15" customHeight="1" thickBot="1" x14ac:dyDescent="0.3">
      <c r="A75" s="627"/>
      <c r="B75" s="647"/>
      <c r="C75" s="654"/>
      <c r="D75" s="633"/>
      <c r="E75" s="402" t="s">
        <v>105</v>
      </c>
      <c r="F75" s="403">
        <f t="shared" ref="F75:K75" si="21">SUM(F73:F74)</f>
        <v>20975000</v>
      </c>
      <c r="G75" s="403">
        <f t="shared" si="21"/>
        <v>0</v>
      </c>
      <c r="H75" s="403">
        <f t="shared" si="21"/>
        <v>0</v>
      </c>
      <c r="I75" s="403">
        <f t="shared" si="21"/>
        <v>8741100</v>
      </c>
      <c r="J75" s="403">
        <f t="shared" si="21"/>
        <v>29716100</v>
      </c>
      <c r="K75" s="403">
        <f t="shared" si="21"/>
        <v>0</v>
      </c>
      <c r="L75" s="404">
        <f t="shared" si="0"/>
        <v>29716100</v>
      </c>
    </row>
    <row r="76" spans="1:12" ht="15" customHeight="1" x14ac:dyDescent="0.25">
      <c r="A76" s="625" t="s">
        <v>188</v>
      </c>
      <c r="B76" s="646" t="s">
        <v>201</v>
      </c>
      <c r="C76" s="653" t="s">
        <v>202</v>
      </c>
      <c r="D76" s="632">
        <v>1</v>
      </c>
      <c r="E76" s="90" t="s">
        <v>140</v>
      </c>
      <c r="F76" s="111">
        <v>5914308</v>
      </c>
      <c r="G76" s="111">
        <v>0</v>
      </c>
      <c r="H76" s="111">
        <v>0</v>
      </c>
      <c r="I76" s="111">
        <v>8858595</v>
      </c>
      <c r="J76" s="111">
        <f>SUM(F76:I76)</f>
        <v>14772903</v>
      </c>
      <c r="K76" s="111">
        <v>0</v>
      </c>
      <c r="L76" s="113">
        <f t="shared" si="0"/>
        <v>14772903</v>
      </c>
    </row>
    <row r="77" spans="1:12" ht="15" customHeight="1" x14ac:dyDescent="0.25">
      <c r="A77" s="626"/>
      <c r="B77" s="646"/>
      <c r="C77" s="653"/>
      <c r="D77" s="632"/>
      <c r="E77" s="50" t="s">
        <v>141</v>
      </c>
      <c r="F77" s="118">
        <v>0</v>
      </c>
      <c r="G77" s="118">
        <v>0</v>
      </c>
      <c r="H77" s="118">
        <v>0</v>
      </c>
      <c r="I77" s="118">
        <v>0</v>
      </c>
      <c r="J77" s="118">
        <v>0</v>
      </c>
      <c r="K77" s="118">
        <v>0</v>
      </c>
      <c r="L77" s="125">
        <f t="shared" si="0"/>
        <v>0</v>
      </c>
    </row>
    <row r="78" spans="1:12" ht="15" customHeight="1" thickBot="1" x14ac:dyDescent="0.3">
      <c r="A78" s="627"/>
      <c r="B78" s="647"/>
      <c r="C78" s="654"/>
      <c r="D78" s="633"/>
      <c r="E78" s="402" t="s">
        <v>105</v>
      </c>
      <c r="F78" s="403">
        <f t="shared" ref="F78:K78" si="22">SUM(F76:F77)</f>
        <v>5914308</v>
      </c>
      <c r="G78" s="403">
        <f t="shared" si="22"/>
        <v>0</v>
      </c>
      <c r="H78" s="403">
        <f t="shared" si="22"/>
        <v>0</v>
      </c>
      <c r="I78" s="403">
        <f t="shared" si="22"/>
        <v>8858595</v>
      </c>
      <c r="J78" s="403">
        <f t="shared" si="22"/>
        <v>14772903</v>
      </c>
      <c r="K78" s="403">
        <f t="shared" si="22"/>
        <v>0</v>
      </c>
      <c r="L78" s="404">
        <f t="shared" si="0"/>
        <v>14772903</v>
      </c>
    </row>
    <row r="79" spans="1:12" ht="15" customHeight="1" x14ac:dyDescent="0.25">
      <c r="A79" s="625" t="s">
        <v>191</v>
      </c>
      <c r="B79" s="648" t="s">
        <v>204</v>
      </c>
      <c r="C79" s="652" t="s">
        <v>205</v>
      </c>
      <c r="D79" s="631">
        <v>1</v>
      </c>
      <c r="E79" s="90" t="s">
        <v>140</v>
      </c>
      <c r="F79" s="111">
        <v>10600000</v>
      </c>
      <c r="G79" s="111">
        <v>0</v>
      </c>
      <c r="H79" s="111">
        <v>0</v>
      </c>
      <c r="I79" s="111">
        <v>1004892</v>
      </c>
      <c r="J79" s="111">
        <f>SUM(F79:I79)</f>
        <v>11604892</v>
      </c>
      <c r="K79" s="111">
        <v>0</v>
      </c>
      <c r="L79" s="113">
        <f t="shared" si="0"/>
        <v>11604892</v>
      </c>
    </row>
    <row r="80" spans="1:12" ht="15" customHeight="1" x14ac:dyDescent="0.25">
      <c r="A80" s="626"/>
      <c r="B80" s="646"/>
      <c r="C80" s="653"/>
      <c r="D80" s="632"/>
      <c r="E80" s="50" t="s">
        <v>141</v>
      </c>
      <c r="F80" s="118">
        <v>0</v>
      </c>
      <c r="G80" s="118">
        <v>0</v>
      </c>
      <c r="H80" s="118">
        <v>0</v>
      </c>
      <c r="I80" s="118">
        <v>0</v>
      </c>
      <c r="J80" s="118">
        <v>0</v>
      </c>
      <c r="K80" s="118">
        <v>0</v>
      </c>
      <c r="L80" s="125">
        <f t="shared" si="0"/>
        <v>0</v>
      </c>
    </row>
    <row r="81" spans="1:13" ht="15" customHeight="1" thickBot="1" x14ac:dyDescent="0.3">
      <c r="A81" s="627"/>
      <c r="B81" s="647"/>
      <c r="C81" s="654"/>
      <c r="D81" s="633"/>
      <c r="E81" s="402" t="s">
        <v>105</v>
      </c>
      <c r="F81" s="403">
        <f t="shared" ref="F81:K81" si="23">SUM(F79:F80)</f>
        <v>10600000</v>
      </c>
      <c r="G81" s="403">
        <f t="shared" si="23"/>
        <v>0</v>
      </c>
      <c r="H81" s="403">
        <f t="shared" si="23"/>
        <v>0</v>
      </c>
      <c r="I81" s="403">
        <f t="shared" si="23"/>
        <v>1004892</v>
      </c>
      <c r="J81" s="403">
        <f t="shared" si="23"/>
        <v>11604892</v>
      </c>
      <c r="K81" s="403">
        <f t="shared" si="23"/>
        <v>0</v>
      </c>
      <c r="L81" s="404">
        <f t="shared" si="0"/>
        <v>11604892</v>
      </c>
    </row>
    <row r="82" spans="1:13" ht="15" customHeight="1" x14ac:dyDescent="0.25">
      <c r="A82" s="625" t="s">
        <v>194</v>
      </c>
      <c r="B82" s="648" t="s">
        <v>207</v>
      </c>
      <c r="C82" s="652" t="s">
        <v>208</v>
      </c>
      <c r="D82" s="631">
        <v>1</v>
      </c>
      <c r="E82" s="90" t="s">
        <v>140</v>
      </c>
      <c r="F82" s="111">
        <v>15890588</v>
      </c>
      <c r="G82" s="111">
        <v>0</v>
      </c>
      <c r="H82" s="111">
        <v>0</v>
      </c>
      <c r="I82" s="111">
        <v>6568570</v>
      </c>
      <c r="J82" s="111">
        <f>SUM(F82:I82)</f>
        <v>22459158</v>
      </c>
      <c r="K82" s="111">
        <v>0</v>
      </c>
      <c r="L82" s="113">
        <f t="shared" si="0"/>
        <v>22459158</v>
      </c>
    </row>
    <row r="83" spans="1:13" ht="15" customHeight="1" x14ac:dyDescent="0.25">
      <c r="A83" s="626"/>
      <c r="B83" s="646"/>
      <c r="C83" s="653"/>
      <c r="D83" s="632"/>
      <c r="E83" s="50" t="s">
        <v>141</v>
      </c>
      <c r="F83" s="118">
        <v>0</v>
      </c>
      <c r="G83" s="118">
        <v>0</v>
      </c>
      <c r="H83" s="118">
        <v>0</v>
      </c>
      <c r="I83" s="118">
        <v>0</v>
      </c>
      <c r="J83" s="118">
        <v>0</v>
      </c>
      <c r="K83" s="118">
        <v>0</v>
      </c>
      <c r="L83" s="125">
        <f t="shared" si="0"/>
        <v>0</v>
      </c>
    </row>
    <row r="84" spans="1:13" ht="15" customHeight="1" thickBot="1" x14ac:dyDescent="0.3">
      <c r="A84" s="627"/>
      <c r="B84" s="647"/>
      <c r="C84" s="654"/>
      <c r="D84" s="633"/>
      <c r="E84" s="402" t="s">
        <v>105</v>
      </c>
      <c r="F84" s="403">
        <f t="shared" ref="F84:K84" si="24">SUM(F82:F83)</f>
        <v>15890588</v>
      </c>
      <c r="G84" s="403">
        <f t="shared" si="24"/>
        <v>0</v>
      </c>
      <c r="H84" s="403">
        <f t="shared" si="24"/>
        <v>0</v>
      </c>
      <c r="I84" s="403">
        <f t="shared" si="24"/>
        <v>6568570</v>
      </c>
      <c r="J84" s="403">
        <f t="shared" si="24"/>
        <v>22459158</v>
      </c>
      <c r="K84" s="403">
        <f t="shared" si="24"/>
        <v>0</v>
      </c>
      <c r="L84" s="404">
        <f t="shared" si="0"/>
        <v>22459158</v>
      </c>
    </row>
    <row r="85" spans="1:13" ht="15" customHeight="1" x14ac:dyDescent="0.25">
      <c r="A85" s="625" t="s">
        <v>197</v>
      </c>
      <c r="B85" s="648" t="s">
        <v>211</v>
      </c>
      <c r="C85" s="652" t="s">
        <v>212</v>
      </c>
      <c r="D85" s="632">
        <v>1</v>
      </c>
      <c r="E85" s="90" t="s">
        <v>140</v>
      </c>
      <c r="F85" s="111">
        <v>21954165</v>
      </c>
      <c r="G85" s="111">
        <v>0</v>
      </c>
      <c r="H85" s="111">
        <v>0</v>
      </c>
      <c r="I85" s="111">
        <v>225894</v>
      </c>
      <c r="J85" s="111">
        <f>SUM(F85:I85)</f>
        <v>22180059</v>
      </c>
      <c r="K85" s="111">
        <v>0</v>
      </c>
      <c r="L85" s="113">
        <f t="shared" si="0"/>
        <v>22180059</v>
      </c>
    </row>
    <row r="86" spans="1:13" ht="15" customHeight="1" x14ac:dyDescent="0.25">
      <c r="A86" s="626"/>
      <c r="B86" s="646"/>
      <c r="C86" s="653"/>
      <c r="D86" s="632"/>
      <c r="E86" s="50" t="s">
        <v>141</v>
      </c>
      <c r="F86" s="118">
        <v>0</v>
      </c>
      <c r="G86" s="118">
        <v>0</v>
      </c>
      <c r="H86" s="118">
        <v>0</v>
      </c>
      <c r="I86" s="118">
        <v>0</v>
      </c>
      <c r="J86" s="118">
        <v>0</v>
      </c>
      <c r="K86" s="118">
        <v>0</v>
      </c>
      <c r="L86" s="125">
        <f t="shared" si="0"/>
        <v>0</v>
      </c>
    </row>
    <row r="87" spans="1:13" ht="15" customHeight="1" thickBot="1" x14ac:dyDescent="0.3">
      <c r="A87" s="627"/>
      <c r="B87" s="647"/>
      <c r="C87" s="654"/>
      <c r="D87" s="633"/>
      <c r="E87" s="402" t="s">
        <v>105</v>
      </c>
      <c r="F87" s="403">
        <f t="shared" ref="F87:K87" si="25">SUM(F85:F86)</f>
        <v>21954165</v>
      </c>
      <c r="G87" s="403">
        <f t="shared" si="25"/>
        <v>0</v>
      </c>
      <c r="H87" s="403">
        <f t="shared" si="25"/>
        <v>0</v>
      </c>
      <c r="I87" s="403">
        <f t="shared" si="25"/>
        <v>225894</v>
      </c>
      <c r="J87" s="403">
        <f t="shared" si="25"/>
        <v>22180059</v>
      </c>
      <c r="K87" s="403">
        <f t="shared" si="25"/>
        <v>0</v>
      </c>
      <c r="L87" s="404">
        <f t="shared" si="0"/>
        <v>22180059</v>
      </c>
    </row>
    <row r="88" spans="1:13" ht="15" customHeight="1" x14ac:dyDescent="0.25">
      <c r="A88" s="667" t="s">
        <v>109</v>
      </c>
      <c r="B88" s="668"/>
      <c r="C88" s="668"/>
      <c r="D88" s="669"/>
      <c r="E88" s="331" t="s">
        <v>140</v>
      </c>
      <c r="F88" s="429">
        <f>F13+F16+F19+F22+F25+F28+F31+F34+F37+F40+F43+F46+F49+F52+F55+F58+F61+F64+F67+F70+F73+F76+F79+F82+F85</f>
        <v>722044053</v>
      </c>
      <c r="G88" s="429">
        <f t="shared" ref="G88:L89" si="26">G13+G16+G19+G22+G25+G28+G31+G34+G37+G40+G43+G46+G49+G52+G55+G58+G61+G64+G67+G70+G73+G76+G79+G82+G85</f>
        <v>96601471</v>
      </c>
      <c r="H88" s="429">
        <f t="shared" si="26"/>
        <v>12969250</v>
      </c>
      <c r="I88" s="429">
        <f t="shared" si="26"/>
        <v>567944686</v>
      </c>
      <c r="J88" s="429">
        <f t="shared" si="26"/>
        <v>1399559460</v>
      </c>
      <c r="K88" s="429">
        <f t="shared" si="26"/>
        <v>11180735</v>
      </c>
      <c r="L88" s="430">
        <f t="shared" si="26"/>
        <v>1410740195</v>
      </c>
    </row>
    <row r="89" spans="1:13" ht="15" customHeight="1" x14ac:dyDescent="0.25">
      <c r="A89" s="670"/>
      <c r="B89" s="671"/>
      <c r="C89" s="671"/>
      <c r="D89" s="672"/>
      <c r="E89" s="340" t="s">
        <v>141</v>
      </c>
      <c r="F89" s="431">
        <f>F14+F17+F20+F23+F26+F29+F32+F35+F38+F41+F44+F47+F50+F53+F56+F59+F62+F65+F68+F71+F74+F77+F80+F83+F86</f>
        <v>40483437</v>
      </c>
      <c r="G89" s="431">
        <f t="shared" si="26"/>
        <v>0</v>
      </c>
      <c r="H89" s="431">
        <f t="shared" si="26"/>
        <v>0</v>
      </c>
      <c r="I89" s="431">
        <f t="shared" si="26"/>
        <v>0</v>
      </c>
      <c r="J89" s="431">
        <f t="shared" si="26"/>
        <v>40483437</v>
      </c>
      <c r="K89" s="431">
        <f t="shared" si="26"/>
        <v>0</v>
      </c>
      <c r="L89" s="432">
        <f t="shared" si="26"/>
        <v>40483437</v>
      </c>
    </row>
    <row r="90" spans="1:13" ht="15" customHeight="1" thickBot="1" x14ac:dyDescent="0.3">
      <c r="A90" s="593"/>
      <c r="B90" s="594"/>
      <c r="C90" s="594"/>
      <c r="D90" s="673"/>
      <c r="E90" s="341" t="s">
        <v>105</v>
      </c>
      <c r="F90" s="338">
        <f t="shared" ref="F90:L90" si="27">SUM(F88:F89)</f>
        <v>762527490</v>
      </c>
      <c r="G90" s="338">
        <f>SUM(G88:G89)</f>
        <v>96601471</v>
      </c>
      <c r="H90" s="338">
        <f t="shared" si="27"/>
        <v>12969250</v>
      </c>
      <c r="I90" s="338">
        <f t="shared" si="27"/>
        <v>567944686</v>
      </c>
      <c r="J90" s="338">
        <f t="shared" si="27"/>
        <v>1440042897</v>
      </c>
      <c r="K90" s="338">
        <f t="shared" si="27"/>
        <v>11180735</v>
      </c>
      <c r="L90" s="339">
        <f t="shared" si="27"/>
        <v>1451223632</v>
      </c>
    </row>
    <row r="91" spans="1:13" ht="15" customHeight="1" x14ac:dyDescent="0.25">
      <c r="A91" s="674"/>
      <c r="B91" s="674"/>
      <c r="C91" s="674"/>
      <c r="D91" s="674"/>
      <c r="E91" s="674"/>
      <c r="F91" s="674"/>
      <c r="G91" s="674"/>
      <c r="H91" s="674"/>
    </row>
    <row r="92" spans="1:13" ht="16.5" thickBot="1" x14ac:dyDescent="0.3">
      <c r="L92" s="226" t="s">
        <v>252</v>
      </c>
      <c r="M92" s="65"/>
    </row>
    <row r="93" spans="1:13" x14ac:dyDescent="0.25">
      <c r="A93" s="638" t="s">
        <v>9</v>
      </c>
      <c r="B93" s="641" t="s">
        <v>96</v>
      </c>
      <c r="C93" s="641"/>
      <c r="D93" s="641"/>
      <c r="E93" s="642" t="s">
        <v>290</v>
      </c>
      <c r="F93" s="642"/>
      <c r="G93" s="642"/>
      <c r="H93" s="642"/>
      <c r="I93" s="642"/>
      <c r="J93" s="642"/>
      <c r="K93" s="642"/>
      <c r="L93" s="643"/>
    </row>
    <row r="94" spans="1:13" x14ac:dyDescent="0.25">
      <c r="A94" s="639"/>
      <c r="B94" s="618"/>
      <c r="C94" s="618"/>
      <c r="D94" s="618"/>
      <c r="E94" s="634" t="s">
        <v>137</v>
      </c>
      <c r="F94" s="634"/>
      <c r="G94" s="634"/>
      <c r="H94" s="634"/>
      <c r="I94" s="634"/>
      <c r="J94" s="634"/>
      <c r="K94" s="618" t="s">
        <v>99</v>
      </c>
      <c r="L94" s="644" t="s">
        <v>105</v>
      </c>
    </row>
    <row r="95" spans="1:13" x14ac:dyDescent="0.25">
      <c r="A95" s="639"/>
      <c r="B95" s="618" t="s">
        <v>100</v>
      </c>
      <c r="C95" s="618" t="s">
        <v>101</v>
      </c>
      <c r="D95" s="620" t="s">
        <v>172</v>
      </c>
      <c r="E95" s="618" t="s">
        <v>138</v>
      </c>
      <c r="F95" s="634" t="s">
        <v>108</v>
      </c>
      <c r="G95" s="634"/>
      <c r="H95" s="634"/>
      <c r="I95" s="634"/>
      <c r="J95" s="634"/>
      <c r="K95" s="618"/>
      <c r="L95" s="644"/>
    </row>
    <row r="96" spans="1:13" x14ac:dyDescent="0.25">
      <c r="A96" s="639"/>
      <c r="B96" s="618"/>
      <c r="C96" s="618"/>
      <c r="D96" s="620"/>
      <c r="E96" s="618"/>
      <c r="F96" s="634" t="s">
        <v>213</v>
      </c>
      <c r="G96" s="634"/>
      <c r="H96" s="634" t="s">
        <v>214</v>
      </c>
      <c r="I96" s="636" t="s">
        <v>139</v>
      </c>
      <c r="J96" s="634" t="s">
        <v>105</v>
      </c>
      <c r="K96" s="618"/>
      <c r="L96" s="644"/>
    </row>
    <row r="97" spans="1:13" ht="16.5" thickBot="1" x14ac:dyDescent="0.3">
      <c r="A97" s="640"/>
      <c r="B97" s="619"/>
      <c r="C97" s="619"/>
      <c r="D97" s="621"/>
      <c r="E97" s="619"/>
      <c r="F97" s="342" t="s">
        <v>215</v>
      </c>
      <c r="G97" s="342" t="s">
        <v>216</v>
      </c>
      <c r="H97" s="635"/>
      <c r="I97" s="637"/>
      <c r="J97" s="635"/>
      <c r="K97" s="619"/>
      <c r="L97" s="645"/>
    </row>
    <row r="98" spans="1:13" ht="15" customHeight="1" x14ac:dyDescent="0.25">
      <c r="A98" s="625" t="s">
        <v>1</v>
      </c>
      <c r="B98" s="628" t="s">
        <v>156</v>
      </c>
      <c r="C98" s="628" t="s">
        <v>157</v>
      </c>
      <c r="D98" s="631">
        <v>0.95</v>
      </c>
      <c r="E98" s="90" t="s">
        <v>140</v>
      </c>
      <c r="F98" s="111">
        <v>0</v>
      </c>
      <c r="G98" s="111">
        <v>1927300</v>
      </c>
      <c r="H98" s="111">
        <v>0</v>
      </c>
      <c r="I98" s="111">
        <v>294953</v>
      </c>
      <c r="J98" s="112">
        <f>SUM(F98:I98)</f>
        <v>2222253</v>
      </c>
      <c r="K98" s="111">
        <v>164063</v>
      </c>
      <c r="L98" s="113">
        <f t="shared" ref="L98:L172" si="28">J98+K98</f>
        <v>2386316</v>
      </c>
    </row>
    <row r="99" spans="1:13" ht="15" customHeight="1" x14ac:dyDescent="0.25">
      <c r="A99" s="626"/>
      <c r="B99" s="629"/>
      <c r="C99" s="629"/>
      <c r="D99" s="632"/>
      <c r="E99" s="50" t="s">
        <v>141</v>
      </c>
      <c r="F99" s="118">
        <v>0</v>
      </c>
      <c r="G99" s="118">
        <v>0</v>
      </c>
      <c r="H99" s="118">
        <v>0</v>
      </c>
      <c r="I99" s="118">
        <v>0</v>
      </c>
      <c r="J99" s="118">
        <v>0</v>
      </c>
      <c r="K99" s="118">
        <v>0</v>
      </c>
      <c r="L99" s="125">
        <f t="shared" si="28"/>
        <v>0</v>
      </c>
    </row>
    <row r="100" spans="1:13" ht="15" customHeight="1" thickBot="1" x14ac:dyDescent="0.3">
      <c r="A100" s="627"/>
      <c r="B100" s="630"/>
      <c r="C100" s="630"/>
      <c r="D100" s="633"/>
      <c r="E100" s="402" t="s">
        <v>105</v>
      </c>
      <c r="F100" s="403">
        <f t="shared" ref="F100:K100" si="29">SUM(F98:F99)</f>
        <v>0</v>
      </c>
      <c r="G100" s="403">
        <f t="shared" si="29"/>
        <v>1927300</v>
      </c>
      <c r="H100" s="403">
        <f t="shared" si="29"/>
        <v>0</v>
      </c>
      <c r="I100" s="403">
        <f t="shared" si="29"/>
        <v>294953</v>
      </c>
      <c r="J100" s="403">
        <f t="shared" si="29"/>
        <v>2222253</v>
      </c>
      <c r="K100" s="403">
        <f t="shared" si="29"/>
        <v>164063</v>
      </c>
      <c r="L100" s="404">
        <f t="shared" si="28"/>
        <v>2386316</v>
      </c>
    </row>
    <row r="101" spans="1:13" s="281" customFormat="1" ht="15" customHeight="1" x14ac:dyDescent="0.25">
      <c r="A101" s="625" t="s">
        <v>2</v>
      </c>
      <c r="B101" s="628" t="s">
        <v>158</v>
      </c>
      <c r="C101" s="628" t="s">
        <v>159</v>
      </c>
      <c r="D101" s="631">
        <v>0.95</v>
      </c>
      <c r="E101" s="282" t="s">
        <v>140</v>
      </c>
      <c r="F101" s="112">
        <v>0</v>
      </c>
      <c r="G101" s="112">
        <f>669271+1625328</f>
        <v>2294599</v>
      </c>
      <c r="H101" s="112">
        <v>0</v>
      </c>
      <c r="I101" s="112">
        <v>78738</v>
      </c>
      <c r="J101" s="112">
        <f>SUM(F101:I101)</f>
        <v>2373337</v>
      </c>
      <c r="K101" s="112">
        <v>39369</v>
      </c>
      <c r="L101" s="283">
        <f t="shared" si="28"/>
        <v>2412706</v>
      </c>
    </row>
    <row r="102" spans="1:13" ht="15" customHeight="1" x14ac:dyDescent="0.25">
      <c r="A102" s="626"/>
      <c r="B102" s="629"/>
      <c r="C102" s="629"/>
      <c r="D102" s="632"/>
      <c r="E102" s="50" t="s">
        <v>141</v>
      </c>
      <c r="F102" s="118">
        <v>0</v>
      </c>
      <c r="G102" s="118">
        <v>0</v>
      </c>
      <c r="H102" s="118">
        <v>0</v>
      </c>
      <c r="I102" s="118"/>
      <c r="J102" s="118">
        <v>0</v>
      </c>
      <c r="K102" s="118">
        <v>0</v>
      </c>
      <c r="L102" s="125">
        <f t="shared" si="28"/>
        <v>0</v>
      </c>
    </row>
    <row r="103" spans="1:13" ht="15" customHeight="1" thickBot="1" x14ac:dyDescent="0.3">
      <c r="A103" s="627"/>
      <c r="B103" s="630"/>
      <c r="C103" s="630"/>
      <c r="D103" s="633"/>
      <c r="E103" s="402" t="s">
        <v>105</v>
      </c>
      <c r="F103" s="403">
        <f t="shared" ref="F103:K103" si="30">SUM(F101:F102)</f>
        <v>0</v>
      </c>
      <c r="G103" s="403">
        <f t="shared" si="30"/>
        <v>2294599</v>
      </c>
      <c r="H103" s="403">
        <f t="shared" si="30"/>
        <v>0</v>
      </c>
      <c r="I103" s="403">
        <f t="shared" si="30"/>
        <v>78738</v>
      </c>
      <c r="J103" s="403">
        <f t="shared" si="30"/>
        <v>2373337</v>
      </c>
      <c r="K103" s="403">
        <f t="shared" si="30"/>
        <v>39369</v>
      </c>
      <c r="L103" s="404">
        <f t="shared" si="28"/>
        <v>2412706</v>
      </c>
    </row>
    <row r="104" spans="1:13" ht="15" customHeight="1" x14ac:dyDescent="0.25">
      <c r="A104" s="625" t="s">
        <v>4</v>
      </c>
      <c r="B104" s="628" t="s">
        <v>175</v>
      </c>
      <c r="C104" s="628" t="s">
        <v>176</v>
      </c>
      <c r="D104" s="631">
        <v>0.95</v>
      </c>
      <c r="E104" s="90" t="s">
        <v>140</v>
      </c>
      <c r="F104" s="111">
        <v>0</v>
      </c>
      <c r="G104" s="111">
        <f>13733994+1182253</f>
        <v>14916247</v>
      </c>
      <c r="H104" s="111">
        <v>0</v>
      </c>
      <c r="I104" s="111">
        <v>1615764</v>
      </c>
      <c r="J104" s="112">
        <f>SUM(F104:I104)</f>
        <v>16532011</v>
      </c>
      <c r="K104" s="111">
        <v>520201</v>
      </c>
      <c r="L104" s="113">
        <f t="shared" si="28"/>
        <v>17052212</v>
      </c>
    </row>
    <row r="105" spans="1:13" ht="15" customHeight="1" x14ac:dyDescent="0.25">
      <c r="A105" s="626"/>
      <c r="B105" s="629"/>
      <c r="C105" s="629"/>
      <c r="D105" s="632"/>
      <c r="E105" s="50" t="s">
        <v>141</v>
      </c>
      <c r="F105" s="118">
        <v>0</v>
      </c>
      <c r="G105" s="118">
        <v>0</v>
      </c>
      <c r="H105" s="118">
        <v>0</v>
      </c>
      <c r="I105" s="118">
        <v>0</v>
      </c>
      <c r="J105" s="118">
        <v>0</v>
      </c>
      <c r="K105" s="118"/>
      <c r="L105" s="125">
        <f t="shared" si="28"/>
        <v>0</v>
      </c>
    </row>
    <row r="106" spans="1:13" ht="15" customHeight="1" thickBot="1" x14ac:dyDescent="0.3">
      <c r="A106" s="627"/>
      <c r="B106" s="630"/>
      <c r="C106" s="630"/>
      <c r="D106" s="633"/>
      <c r="E106" s="402" t="s">
        <v>105</v>
      </c>
      <c r="F106" s="403">
        <f t="shared" ref="F106:K106" si="31">SUM(F104:F105)</f>
        <v>0</v>
      </c>
      <c r="G106" s="403">
        <f t="shared" si="31"/>
        <v>14916247</v>
      </c>
      <c r="H106" s="403">
        <f t="shared" si="31"/>
        <v>0</v>
      </c>
      <c r="I106" s="403">
        <f t="shared" si="31"/>
        <v>1615764</v>
      </c>
      <c r="J106" s="403">
        <f t="shared" si="31"/>
        <v>16532011</v>
      </c>
      <c r="K106" s="403">
        <f t="shared" si="31"/>
        <v>520201</v>
      </c>
      <c r="L106" s="404">
        <f t="shared" si="28"/>
        <v>17052212</v>
      </c>
    </row>
    <row r="107" spans="1:13" ht="15" customHeight="1" x14ac:dyDescent="0.25">
      <c r="A107" s="625" t="s">
        <v>5</v>
      </c>
      <c r="B107" s="628" t="s">
        <v>177</v>
      </c>
      <c r="C107" s="628" t="s">
        <v>178</v>
      </c>
      <c r="D107" s="631">
        <v>0.95</v>
      </c>
      <c r="E107" s="90" t="s">
        <v>140</v>
      </c>
      <c r="F107" s="111">
        <v>0</v>
      </c>
      <c r="G107" s="111">
        <v>6642565</v>
      </c>
      <c r="H107" s="111">
        <v>0</v>
      </c>
      <c r="I107" s="111">
        <v>1378567</v>
      </c>
      <c r="J107" s="112">
        <f>SUM(F107:I107)</f>
        <v>8021132</v>
      </c>
      <c r="K107" s="111">
        <v>512589</v>
      </c>
      <c r="L107" s="113">
        <f>J107+K107</f>
        <v>8533721</v>
      </c>
      <c r="M107" s="66"/>
    </row>
    <row r="108" spans="1:13" ht="15" customHeight="1" x14ac:dyDescent="0.25">
      <c r="A108" s="626"/>
      <c r="B108" s="629"/>
      <c r="C108" s="629"/>
      <c r="D108" s="632"/>
      <c r="E108" s="50" t="s">
        <v>141</v>
      </c>
      <c r="F108" s="118">
        <v>0</v>
      </c>
      <c r="G108" s="118">
        <v>0</v>
      </c>
      <c r="H108" s="118">
        <v>0</v>
      </c>
      <c r="I108" s="118">
        <v>0</v>
      </c>
      <c r="J108" s="118">
        <v>0</v>
      </c>
      <c r="K108" s="118">
        <v>0</v>
      </c>
      <c r="L108" s="125">
        <f t="shared" si="28"/>
        <v>0</v>
      </c>
    </row>
    <row r="109" spans="1:13" ht="15" customHeight="1" thickBot="1" x14ac:dyDescent="0.3">
      <c r="A109" s="627"/>
      <c r="B109" s="630"/>
      <c r="C109" s="630"/>
      <c r="D109" s="633"/>
      <c r="E109" s="402" t="s">
        <v>105</v>
      </c>
      <c r="F109" s="403">
        <f t="shared" ref="F109:K109" si="32">SUM(F107:F108)</f>
        <v>0</v>
      </c>
      <c r="G109" s="403">
        <f t="shared" si="32"/>
        <v>6642565</v>
      </c>
      <c r="H109" s="403">
        <f t="shared" si="32"/>
        <v>0</v>
      </c>
      <c r="I109" s="403">
        <f t="shared" si="32"/>
        <v>1378567</v>
      </c>
      <c r="J109" s="403">
        <f t="shared" si="32"/>
        <v>8021132</v>
      </c>
      <c r="K109" s="403">
        <f t="shared" si="32"/>
        <v>512589</v>
      </c>
      <c r="L109" s="404">
        <f t="shared" si="28"/>
        <v>8533721</v>
      </c>
    </row>
    <row r="110" spans="1:13" ht="15" customHeight="1" x14ac:dyDescent="0.25">
      <c r="A110" s="625" t="s">
        <v>7</v>
      </c>
      <c r="B110" s="628" t="s">
        <v>179</v>
      </c>
      <c r="C110" s="628" t="s">
        <v>180</v>
      </c>
      <c r="D110" s="631">
        <v>0.95</v>
      </c>
      <c r="E110" s="90" t="s">
        <v>140</v>
      </c>
      <c r="F110" s="111">
        <v>0</v>
      </c>
      <c r="G110" s="111">
        <f>4826130+2414291+19258108</f>
        <v>26498529</v>
      </c>
      <c r="H110" s="111">
        <v>0</v>
      </c>
      <c r="I110" s="111">
        <v>567780</v>
      </c>
      <c r="J110" s="112">
        <f>SUM(F110:I110)</f>
        <v>27066309</v>
      </c>
      <c r="K110" s="111">
        <v>221230</v>
      </c>
      <c r="L110" s="113">
        <f t="shared" si="28"/>
        <v>27287539</v>
      </c>
    </row>
    <row r="111" spans="1:13" ht="15" customHeight="1" x14ac:dyDescent="0.25">
      <c r="A111" s="626"/>
      <c r="B111" s="629"/>
      <c r="C111" s="629"/>
      <c r="D111" s="632"/>
      <c r="E111" s="50" t="s">
        <v>141</v>
      </c>
      <c r="F111" s="118">
        <v>0</v>
      </c>
      <c r="G111" s="118">
        <v>0</v>
      </c>
      <c r="H111" s="118">
        <v>0</v>
      </c>
      <c r="I111" s="118">
        <v>0</v>
      </c>
      <c r="J111" s="118">
        <v>0</v>
      </c>
      <c r="K111" s="118">
        <v>0</v>
      </c>
      <c r="L111" s="125">
        <f t="shared" si="28"/>
        <v>0</v>
      </c>
    </row>
    <row r="112" spans="1:13" ht="15" customHeight="1" thickBot="1" x14ac:dyDescent="0.3">
      <c r="A112" s="627"/>
      <c r="B112" s="630"/>
      <c r="C112" s="630"/>
      <c r="D112" s="633"/>
      <c r="E112" s="402" t="s">
        <v>105</v>
      </c>
      <c r="F112" s="403">
        <f t="shared" ref="F112:K112" si="33">SUM(F110:F111)</f>
        <v>0</v>
      </c>
      <c r="G112" s="403">
        <f t="shared" si="33"/>
        <v>26498529</v>
      </c>
      <c r="H112" s="403">
        <f t="shared" si="33"/>
        <v>0</v>
      </c>
      <c r="I112" s="403">
        <f t="shared" si="33"/>
        <v>567780</v>
      </c>
      <c r="J112" s="403">
        <f t="shared" si="33"/>
        <v>27066309</v>
      </c>
      <c r="K112" s="403">
        <f t="shared" si="33"/>
        <v>221230</v>
      </c>
      <c r="L112" s="404">
        <f t="shared" si="28"/>
        <v>27287539</v>
      </c>
    </row>
    <row r="113" spans="1:12" s="281" customFormat="1" ht="15" customHeight="1" x14ac:dyDescent="0.25">
      <c r="A113" s="625" t="s">
        <v>27</v>
      </c>
      <c r="B113" s="629" t="s">
        <v>181</v>
      </c>
      <c r="C113" s="629" t="s">
        <v>182</v>
      </c>
      <c r="D113" s="632">
        <v>0.95</v>
      </c>
      <c r="E113" s="126" t="s">
        <v>140</v>
      </c>
      <c r="F113" s="112">
        <v>0</v>
      </c>
      <c r="G113" s="112">
        <v>9277367</v>
      </c>
      <c r="H113" s="112">
        <v>0</v>
      </c>
      <c r="I113" s="112">
        <v>1657519</v>
      </c>
      <c r="J113" s="112">
        <f>SUM(F113:I113)</f>
        <v>10934886</v>
      </c>
      <c r="K113" s="112">
        <v>858578</v>
      </c>
      <c r="L113" s="280">
        <f t="shared" si="28"/>
        <v>11793464</v>
      </c>
    </row>
    <row r="114" spans="1:12" ht="15" customHeight="1" x14ac:dyDescent="0.25">
      <c r="A114" s="626"/>
      <c r="B114" s="629"/>
      <c r="C114" s="629"/>
      <c r="D114" s="632"/>
      <c r="E114" s="50" t="s">
        <v>141</v>
      </c>
      <c r="F114" s="118">
        <v>0</v>
      </c>
      <c r="G114" s="118">
        <v>0</v>
      </c>
      <c r="H114" s="118">
        <v>0</v>
      </c>
      <c r="I114" s="118">
        <v>0</v>
      </c>
      <c r="J114" s="118">
        <v>0</v>
      </c>
      <c r="K114" s="118">
        <v>0</v>
      </c>
      <c r="L114" s="125">
        <f t="shared" si="28"/>
        <v>0</v>
      </c>
    </row>
    <row r="115" spans="1:12" ht="15" customHeight="1" thickBot="1" x14ac:dyDescent="0.3">
      <c r="A115" s="627"/>
      <c r="B115" s="630"/>
      <c r="C115" s="630"/>
      <c r="D115" s="633"/>
      <c r="E115" s="402" t="s">
        <v>105</v>
      </c>
      <c r="F115" s="403">
        <f t="shared" ref="F115:K115" si="34">SUM(F113:F114)</f>
        <v>0</v>
      </c>
      <c r="G115" s="403">
        <f t="shared" si="34"/>
        <v>9277367</v>
      </c>
      <c r="H115" s="403">
        <f t="shared" si="34"/>
        <v>0</v>
      </c>
      <c r="I115" s="403">
        <f t="shared" si="34"/>
        <v>1657519</v>
      </c>
      <c r="J115" s="403">
        <f t="shared" si="34"/>
        <v>10934886</v>
      </c>
      <c r="K115" s="403">
        <f t="shared" si="34"/>
        <v>858578</v>
      </c>
      <c r="L115" s="404">
        <f t="shared" si="28"/>
        <v>11793464</v>
      </c>
    </row>
    <row r="116" spans="1:12" ht="15" customHeight="1" x14ac:dyDescent="0.25">
      <c r="A116" s="625" t="s">
        <v>81</v>
      </c>
      <c r="B116" s="646" t="s">
        <v>268</v>
      </c>
      <c r="C116" s="629" t="s">
        <v>269</v>
      </c>
      <c r="D116" s="632">
        <v>0.9395</v>
      </c>
      <c r="E116" s="55" t="s">
        <v>140</v>
      </c>
      <c r="F116" s="111">
        <v>0</v>
      </c>
      <c r="G116" s="111">
        <f>1878027+2843869</f>
        <v>4721896</v>
      </c>
      <c r="H116" s="111">
        <v>0</v>
      </c>
      <c r="I116" s="111">
        <v>0</v>
      </c>
      <c r="J116" s="112">
        <f>SUM(F116:I116)</f>
        <v>4721896</v>
      </c>
      <c r="K116" s="111">
        <v>122897</v>
      </c>
      <c r="L116" s="116">
        <f t="shared" si="28"/>
        <v>4844793</v>
      </c>
    </row>
    <row r="117" spans="1:12" ht="15" customHeight="1" x14ac:dyDescent="0.25">
      <c r="A117" s="626"/>
      <c r="B117" s="646"/>
      <c r="C117" s="629"/>
      <c r="D117" s="632"/>
      <c r="E117" s="50" t="s">
        <v>141</v>
      </c>
      <c r="F117" s="118">
        <v>0</v>
      </c>
      <c r="G117" s="118">
        <v>0</v>
      </c>
      <c r="H117" s="118">
        <v>0</v>
      </c>
      <c r="I117" s="118">
        <v>0</v>
      </c>
      <c r="J117" s="118">
        <v>0</v>
      </c>
      <c r="K117" s="118">
        <v>0</v>
      </c>
      <c r="L117" s="125">
        <f t="shared" si="28"/>
        <v>0</v>
      </c>
    </row>
    <row r="118" spans="1:12" ht="15" customHeight="1" thickBot="1" x14ac:dyDescent="0.3">
      <c r="A118" s="627"/>
      <c r="B118" s="647"/>
      <c r="C118" s="630"/>
      <c r="D118" s="633"/>
      <c r="E118" s="402" t="s">
        <v>105</v>
      </c>
      <c r="F118" s="403">
        <f t="shared" ref="F118:K118" si="35">SUM(F116:F117)</f>
        <v>0</v>
      </c>
      <c r="G118" s="403">
        <f t="shared" si="35"/>
        <v>4721896</v>
      </c>
      <c r="H118" s="403">
        <f t="shared" si="35"/>
        <v>0</v>
      </c>
      <c r="I118" s="403">
        <f t="shared" si="35"/>
        <v>0</v>
      </c>
      <c r="J118" s="403">
        <f t="shared" si="35"/>
        <v>4721896</v>
      </c>
      <c r="K118" s="403">
        <f t="shared" si="35"/>
        <v>122897</v>
      </c>
      <c r="L118" s="404">
        <f t="shared" si="28"/>
        <v>4844793</v>
      </c>
    </row>
    <row r="119" spans="1:12" s="281" customFormat="1" ht="15" customHeight="1" x14ac:dyDescent="0.25">
      <c r="A119" s="625" t="s">
        <v>82</v>
      </c>
      <c r="B119" s="648" t="s">
        <v>270</v>
      </c>
      <c r="C119" s="628">
        <v>101035163</v>
      </c>
      <c r="D119" s="631">
        <v>0.60099999999999998</v>
      </c>
      <c r="E119" s="282" t="s">
        <v>140</v>
      </c>
      <c r="F119" s="112">
        <v>0</v>
      </c>
      <c r="G119" s="112">
        <v>10509329</v>
      </c>
      <c r="H119" s="112">
        <v>0</v>
      </c>
      <c r="I119" s="112">
        <v>0</v>
      </c>
      <c r="J119" s="112">
        <f>SUM(F119:I119)</f>
        <v>10509329</v>
      </c>
      <c r="K119" s="112">
        <v>5279369</v>
      </c>
      <c r="L119" s="283">
        <f t="shared" si="28"/>
        <v>15788698</v>
      </c>
    </row>
    <row r="120" spans="1:12" ht="15" customHeight="1" x14ac:dyDescent="0.25">
      <c r="A120" s="626"/>
      <c r="B120" s="646"/>
      <c r="C120" s="629"/>
      <c r="D120" s="632"/>
      <c r="E120" s="50" t="s">
        <v>141</v>
      </c>
      <c r="F120" s="118">
        <v>0</v>
      </c>
      <c r="G120" s="118">
        <v>0</v>
      </c>
      <c r="H120" s="118">
        <v>0</v>
      </c>
      <c r="I120" s="118">
        <v>0</v>
      </c>
      <c r="J120" s="118">
        <v>0</v>
      </c>
      <c r="K120" s="118">
        <v>0</v>
      </c>
      <c r="L120" s="125">
        <f t="shared" si="28"/>
        <v>0</v>
      </c>
    </row>
    <row r="121" spans="1:12" ht="15" customHeight="1" thickBot="1" x14ac:dyDescent="0.3">
      <c r="A121" s="627"/>
      <c r="B121" s="647"/>
      <c r="C121" s="630"/>
      <c r="D121" s="633"/>
      <c r="E121" s="402" t="s">
        <v>105</v>
      </c>
      <c r="F121" s="403">
        <f t="shared" ref="F121:K121" si="36">SUM(F119:F120)</f>
        <v>0</v>
      </c>
      <c r="G121" s="403">
        <f t="shared" si="36"/>
        <v>10509329</v>
      </c>
      <c r="H121" s="403">
        <f t="shared" si="36"/>
        <v>0</v>
      </c>
      <c r="I121" s="403">
        <f t="shared" si="36"/>
        <v>0</v>
      </c>
      <c r="J121" s="403">
        <f t="shared" si="36"/>
        <v>10509329</v>
      </c>
      <c r="K121" s="403">
        <f t="shared" si="36"/>
        <v>5279369</v>
      </c>
      <c r="L121" s="404">
        <f t="shared" si="28"/>
        <v>15788698</v>
      </c>
    </row>
    <row r="122" spans="1:12" s="281" customFormat="1" ht="15" customHeight="1" x14ac:dyDescent="0.25">
      <c r="A122" s="625" t="s">
        <v>93</v>
      </c>
      <c r="B122" s="646" t="s">
        <v>322</v>
      </c>
      <c r="C122" s="628">
        <v>101074095</v>
      </c>
      <c r="D122" s="632">
        <v>0.9</v>
      </c>
      <c r="E122" s="126" t="s">
        <v>140</v>
      </c>
      <c r="F122" s="112">
        <v>0</v>
      </c>
      <c r="G122" s="112">
        <f>6654762+4242582</f>
        <v>10897344</v>
      </c>
      <c r="H122" s="112">
        <v>0</v>
      </c>
      <c r="I122" s="112">
        <v>0</v>
      </c>
      <c r="J122" s="112">
        <f>SUM(F122:I122)</f>
        <v>10897344</v>
      </c>
      <c r="K122" s="112">
        <v>645171</v>
      </c>
      <c r="L122" s="280">
        <f t="shared" si="28"/>
        <v>11542515</v>
      </c>
    </row>
    <row r="123" spans="1:12" ht="15" customHeight="1" x14ac:dyDescent="0.25">
      <c r="A123" s="626"/>
      <c r="B123" s="646"/>
      <c r="C123" s="629"/>
      <c r="D123" s="632"/>
      <c r="E123" s="50" t="s">
        <v>141</v>
      </c>
      <c r="F123" s="118">
        <v>0</v>
      </c>
      <c r="G123" s="118">
        <v>0</v>
      </c>
      <c r="H123" s="118">
        <v>0</v>
      </c>
      <c r="I123" s="118">
        <v>0</v>
      </c>
      <c r="J123" s="118">
        <v>0</v>
      </c>
      <c r="K123" s="118">
        <v>0</v>
      </c>
      <c r="L123" s="125">
        <f t="shared" si="28"/>
        <v>0</v>
      </c>
    </row>
    <row r="124" spans="1:12" ht="15" customHeight="1" thickBot="1" x14ac:dyDescent="0.3">
      <c r="A124" s="627"/>
      <c r="B124" s="647"/>
      <c r="C124" s="630"/>
      <c r="D124" s="633"/>
      <c r="E124" s="402" t="s">
        <v>105</v>
      </c>
      <c r="F124" s="403">
        <f t="shared" ref="F124:K124" si="37">SUM(F122:F123)</f>
        <v>0</v>
      </c>
      <c r="G124" s="403">
        <f t="shared" si="37"/>
        <v>10897344</v>
      </c>
      <c r="H124" s="403">
        <f t="shared" si="37"/>
        <v>0</v>
      </c>
      <c r="I124" s="403">
        <f t="shared" si="37"/>
        <v>0</v>
      </c>
      <c r="J124" s="403">
        <f t="shared" si="37"/>
        <v>10897344</v>
      </c>
      <c r="K124" s="403">
        <f t="shared" si="37"/>
        <v>645171</v>
      </c>
      <c r="L124" s="404">
        <f t="shared" si="28"/>
        <v>11542515</v>
      </c>
    </row>
    <row r="125" spans="1:12" ht="15" customHeight="1" x14ac:dyDescent="0.25">
      <c r="A125" s="625" t="s">
        <v>131</v>
      </c>
      <c r="B125" s="648" t="s">
        <v>111</v>
      </c>
      <c r="C125" s="649" t="s">
        <v>160</v>
      </c>
      <c r="D125" s="631">
        <v>1</v>
      </c>
      <c r="E125" s="90" t="s">
        <v>140</v>
      </c>
      <c r="F125" s="111">
        <f>2413535+1508205</f>
        <v>3921740</v>
      </c>
      <c r="G125" s="111">
        <v>0</v>
      </c>
      <c r="H125" s="111">
        <v>0</v>
      </c>
      <c r="I125" s="111">
        <v>0</v>
      </c>
      <c r="J125" s="112">
        <f>SUM(F125:I125)</f>
        <v>3921740</v>
      </c>
      <c r="K125" s="111">
        <v>0</v>
      </c>
      <c r="L125" s="113">
        <f t="shared" si="28"/>
        <v>3921740</v>
      </c>
    </row>
    <row r="126" spans="1:12" ht="15" customHeight="1" x14ac:dyDescent="0.25">
      <c r="A126" s="626"/>
      <c r="B126" s="646"/>
      <c r="C126" s="650"/>
      <c r="D126" s="632"/>
      <c r="E126" s="50" t="s">
        <v>141</v>
      </c>
      <c r="F126" s="118">
        <v>6583437</v>
      </c>
      <c r="G126" s="118">
        <v>0</v>
      </c>
      <c r="H126" s="118">
        <v>0</v>
      </c>
      <c r="I126" s="118">
        <v>0</v>
      </c>
      <c r="J126" s="114">
        <f>SUM(F126:I126)</f>
        <v>6583437</v>
      </c>
      <c r="K126" s="118">
        <v>0</v>
      </c>
      <c r="L126" s="125">
        <f t="shared" si="28"/>
        <v>6583437</v>
      </c>
    </row>
    <row r="127" spans="1:12" ht="15" customHeight="1" thickBot="1" x14ac:dyDescent="0.3">
      <c r="A127" s="627"/>
      <c r="B127" s="647"/>
      <c r="C127" s="651"/>
      <c r="D127" s="633"/>
      <c r="E127" s="402" t="s">
        <v>105</v>
      </c>
      <c r="F127" s="403">
        <f t="shared" ref="F127:K127" si="38">SUM(F125:F126)</f>
        <v>10505177</v>
      </c>
      <c r="G127" s="403">
        <f t="shared" si="38"/>
        <v>0</v>
      </c>
      <c r="H127" s="403">
        <f t="shared" si="38"/>
        <v>0</v>
      </c>
      <c r="I127" s="403">
        <f t="shared" si="38"/>
        <v>0</v>
      </c>
      <c r="J127" s="403">
        <f t="shared" si="38"/>
        <v>10505177</v>
      </c>
      <c r="K127" s="403">
        <f t="shared" si="38"/>
        <v>0</v>
      </c>
      <c r="L127" s="404">
        <f t="shared" si="28"/>
        <v>10505177</v>
      </c>
    </row>
    <row r="128" spans="1:12" ht="15" customHeight="1" x14ac:dyDescent="0.25">
      <c r="A128" s="625" t="s">
        <v>132</v>
      </c>
      <c r="B128" s="648" t="s">
        <v>149</v>
      </c>
      <c r="C128" s="652" t="s">
        <v>161</v>
      </c>
      <c r="D128" s="631">
        <v>1</v>
      </c>
      <c r="E128" s="55" t="s">
        <v>140</v>
      </c>
      <c r="F128" s="111">
        <v>0</v>
      </c>
      <c r="G128" s="111">
        <v>0</v>
      </c>
      <c r="H128" s="111">
        <v>0</v>
      </c>
      <c r="I128" s="111">
        <v>170533037</v>
      </c>
      <c r="J128" s="112">
        <f>SUM(F128:I128)</f>
        <v>170533037</v>
      </c>
      <c r="K128" s="111">
        <v>0</v>
      </c>
      <c r="L128" s="116">
        <f t="shared" si="28"/>
        <v>170533037</v>
      </c>
    </row>
    <row r="129" spans="1:12" ht="15" customHeight="1" x14ac:dyDescent="0.25">
      <c r="A129" s="626"/>
      <c r="B129" s="646"/>
      <c r="C129" s="653"/>
      <c r="D129" s="632"/>
      <c r="E129" s="50" t="s">
        <v>141</v>
      </c>
      <c r="F129" s="118">
        <v>0</v>
      </c>
      <c r="G129" s="118">
        <v>0</v>
      </c>
      <c r="H129" s="118">
        <v>0</v>
      </c>
      <c r="I129" s="118">
        <v>0</v>
      </c>
      <c r="J129" s="118">
        <v>0</v>
      </c>
      <c r="K129" s="118">
        <v>0</v>
      </c>
      <c r="L129" s="125">
        <f t="shared" si="28"/>
        <v>0</v>
      </c>
    </row>
    <row r="130" spans="1:12" ht="15" customHeight="1" thickBot="1" x14ac:dyDescent="0.3">
      <c r="A130" s="627"/>
      <c r="B130" s="647"/>
      <c r="C130" s="654"/>
      <c r="D130" s="633"/>
      <c r="E130" s="402" t="s">
        <v>105</v>
      </c>
      <c r="F130" s="403">
        <f t="shared" ref="F130:K130" si="39">SUM(F128:F129)</f>
        <v>0</v>
      </c>
      <c r="G130" s="403">
        <f t="shared" si="39"/>
        <v>0</v>
      </c>
      <c r="H130" s="403">
        <f t="shared" si="39"/>
        <v>0</v>
      </c>
      <c r="I130" s="403">
        <f t="shared" si="39"/>
        <v>170533037</v>
      </c>
      <c r="J130" s="403">
        <f t="shared" si="39"/>
        <v>170533037</v>
      </c>
      <c r="K130" s="403">
        <f t="shared" si="39"/>
        <v>0</v>
      </c>
      <c r="L130" s="404">
        <f t="shared" si="28"/>
        <v>170533037</v>
      </c>
    </row>
    <row r="131" spans="1:12" ht="15" customHeight="1" x14ac:dyDescent="0.25">
      <c r="A131" s="625" t="s">
        <v>136</v>
      </c>
      <c r="B131" s="664" t="s">
        <v>183</v>
      </c>
      <c r="C131" s="649" t="s">
        <v>184</v>
      </c>
      <c r="D131" s="631">
        <v>1</v>
      </c>
      <c r="E131" s="90" t="s">
        <v>140</v>
      </c>
      <c r="F131" s="111">
        <v>300000000</v>
      </c>
      <c r="G131" s="111">
        <v>0</v>
      </c>
      <c r="H131" s="111">
        <v>0</v>
      </c>
      <c r="I131" s="111">
        <v>304217826</v>
      </c>
      <c r="J131" s="112">
        <f>SUM(F131:I131)</f>
        <v>604217826</v>
      </c>
      <c r="K131" s="111">
        <v>0</v>
      </c>
      <c r="L131" s="113">
        <f t="shared" si="28"/>
        <v>604217826</v>
      </c>
    </row>
    <row r="132" spans="1:12" ht="15" customHeight="1" x14ac:dyDescent="0.25">
      <c r="A132" s="626"/>
      <c r="B132" s="665"/>
      <c r="C132" s="650"/>
      <c r="D132" s="632"/>
      <c r="E132" s="50" t="s">
        <v>141</v>
      </c>
      <c r="F132" s="118">
        <v>0</v>
      </c>
      <c r="G132" s="118">
        <v>0</v>
      </c>
      <c r="H132" s="118">
        <v>0</v>
      </c>
      <c r="I132" s="118">
        <v>0</v>
      </c>
      <c r="J132" s="118">
        <v>0</v>
      </c>
      <c r="K132" s="118">
        <v>0</v>
      </c>
      <c r="L132" s="125">
        <f t="shared" si="28"/>
        <v>0</v>
      </c>
    </row>
    <row r="133" spans="1:12" ht="15" customHeight="1" thickBot="1" x14ac:dyDescent="0.3">
      <c r="A133" s="627"/>
      <c r="B133" s="666"/>
      <c r="C133" s="651"/>
      <c r="D133" s="633"/>
      <c r="E133" s="402" t="s">
        <v>105</v>
      </c>
      <c r="F133" s="403">
        <f t="shared" ref="F133:K133" si="40">SUM(F131:F132)</f>
        <v>300000000</v>
      </c>
      <c r="G133" s="403">
        <f t="shared" si="40"/>
        <v>0</v>
      </c>
      <c r="H133" s="403">
        <f t="shared" si="40"/>
        <v>0</v>
      </c>
      <c r="I133" s="403">
        <f t="shared" si="40"/>
        <v>304217826</v>
      </c>
      <c r="J133" s="403">
        <f t="shared" si="40"/>
        <v>604217826</v>
      </c>
      <c r="K133" s="403">
        <f t="shared" si="40"/>
        <v>0</v>
      </c>
      <c r="L133" s="404">
        <f t="shared" si="28"/>
        <v>604217826</v>
      </c>
    </row>
    <row r="134" spans="1:12" ht="15" customHeight="1" x14ac:dyDescent="0.25">
      <c r="A134" s="625" t="s">
        <v>154</v>
      </c>
      <c r="B134" s="664" t="s">
        <v>271</v>
      </c>
      <c r="C134" s="649" t="s">
        <v>272</v>
      </c>
      <c r="D134" s="631">
        <v>1</v>
      </c>
      <c r="E134" s="90" t="s">
        <v>140</v>
      </c>
      <c r="F134" s="111">
        <v>0</v>
      </c>
      <c r="G134" s="111">
        <v>0</v>
      </c>
      <c r="H134" s="111">
        <v>0</v>
      </c>
      <c r="I134" s="111">
        <v>48119772</v>
      </c>
      <c r="J134" s="112">
        <f>SUM(F134:I134)</f>
        <v>48119772</v>
      </c>
      <c r="K134" s="111">
        <v>0</v>
      </c>
      <c r="L134" s="113">
        <f t="shared" si="28"/>
        <v>48119772</v>
      </c>
    </row>
    <row r="135" spans="1:12" ht="15" customHeight="1" x14ac:dyDescent="0.25">
      <c r="A135" s="626"/>
      <c r="B135" s="665"/>
      <c r="C135" s="650"/>
      <c r="D135" s="632"/>
      <c r="E135" s="50" t="s">
        <v>141</v>
      </c>
      <c r="F135" s="118">
        <v>0</v>
      </c>
      <c r="G135" s="118">
        <v>0</v>
      </c>
      <c r="H135" s="118">
        <v>0</v>
      </c>
      <c r="I135" s="118">
        <v>0</v>
      </c>
      <c r="J135" s="118">
        <v>0</v>
      </c>
      <c r="K135" s="118">
        <v>0</v>
      </c>
      <c r="L135" s="125">
        <f t="shared" si="28"/>
        <v>0</v>
      </c>
    </row>
    <row r="136" spans="1:12" ht="15" customHeight="1" thickBot="1" x14ac:dyDescent="0.3">
      <c r="A136" s="627"/>
      <c r="B136" s="666"/>
      <c r="C136" s="651"/>
      <c r="D136" s="633"/>
      <c r="E136" s="402" t="s">
        <v>105</v>
      </c>
      <c r="F136" s="403">
        <f t="shared" ref="F136:K136" si="41">SUM(F134:F135)</f>
        <v>0</v>
      </c>
      <c r="G136" s="403">
        <f t="shared" si="41"/>
        <v>0</v>
      </c>
      <c r="H136" s="403">
        <f t="shared" si="41"/>
        <v>0</v>
      </c>
      <c r="I136" s="403">
        <f t="shared" si="41"/>
        <v>48119772</v>
      </c>
      <c r="J136" s="403">
        <f t="shared" si="41"/>
        <v>48119772</v>
      </c>
      <c r="K136" s="403">
        <f t="shared" si="41"/>
        <v>0</v>
      </c>
      <c r="L136" s="404">
        <f t="shared" si="28"/>
        <v>48119772</v>
      </c>
    </row>
    <row r="137" spans="1:12" ht="15" customHeight="1" x14ac:dyDescent="0.25">
      <c r="A137" s="625" t="s">
        <v>162</v>
      </c>
      <c r="B137" s="648" t="s">
        <v>323</v>
      </c>
      <c r="C137" s="675" t="s">
        <v>324</v>
      </c>
      <c r="D137" s="631">
        <v>1</v>
      </c>
      <c r="E137" s="90" t="s">
        <v>140</v>
      </c>
      <c r="F137" s="111">
        <f>106831282+27483222</f>
        <v>134314504</v>
      </c>
      <c r="G137" s="111">
        <v>0</v>
      </c>
      <c r="H137" s="111">
        <f>27483222-27483222</f>
        <v>0</v>
      </c>
      <c r="I137" s="111">
        <v>0</v>
      </c>
      <c r="J137" s="112">
        <f>SUM(F137:I137)</f>
        <v>134314504</v>
      </c>
      <c r="K137" s="111">
        <v>0</v>
      </c>
      <c r="L137" s="113">
        <f t="shared" si="28"/>
        <v>134314504</v>
      </c>
    </row>
    <row r="138" spans="1:12" ht="15" customHeight="1" x14ac:dyDescent="0.25">
      <c r="A138" s="626"/>
      <c r="B138" s="646"/>
      <c r="C138" s="676"/>
      <c r="D138" s="632"/>
      <c r="E138" s="50" t="s">
        <v>141</v>
      </c>
      <c r="F138" s="118">
        <v>0</v>
      </c>
      <c r="G138" s="118">
        <v>0</v>
      </c>
      <c r="H138" s="118">
        <v>0</v>
      </c>
      <c r="I138" s="118">
        <v>0</v>
      </c>
      <c r="J138" s="114">
        <f>SUM(F138:I138)</f>
        <v>0</v>
      </c>
      <c r="K138" s="118">
        <v>0</v>
      </c>
      <c r="L138" s="125">
        <f t="shared" si="28"/>
        <v>0</v>
      </c>
    </row>
    <row r="139" spans="1:12" ht="15" customHeight="1" thickBot="1" x14ac:dyDescent="0.3">
      <c r="A139" s="627"/>
      <c r="B139" s="647"/>
      <c r="C139" s="677"/>
      <c r="D139" s="633"/>
      <c r="E139" s="402" t="s">
        <v>105</v>
      </c>
      <c r="F139" s="403">
        <f t="shared" ref="F139:K139" si="42">SUM(F137:F138)</f>
        <v>134314504</v>
      </c>
      <c r="G139" s="403">
        <f t="shared" si="42"/>
        <v>0</v>
      </c>
      <c r="H139" s="403">
        <f t="shared" si="42"/>
        <v>0</v>
      </c>
      <c r="I139" s="403">
        <f t="shared" si="42"/>
        <v>0</v>
      </c>
      <c r="J139" s="403">
        <f t="shared" si="42"/>
        <v>134314504</v>
      </c>
      <c r="K139" s="403">
        <f t="shared" si="42"/>
        <v>0</v>
      </c>
      <c r="L139" s="404">
        <f t="shared" si="28"/>
        <v>134314504</v>
      </c>
    </row>
    <row r="140" spans="1:12" ht="15" customHeight="1" x14ac:dyDescent="0.25">
      <c r="A140" s="625" t="s">
        <v>165</v>
      </c>
      <c r="B140" s="648" t="s">
        <v>325</v>
      </c>
      <c r="C140" s="675" t="s">
        <v>326</v>
      </c>
      <c r="D140" s="631">
        <v>1</v>
      </c>
      <c r="E140" s="90" t="s">
        <v>140</v>
      </c>
      <c r="F140" s="111">
        <v>90000000</v>
      </c>
      <c r="G140" s="111">
        <v>0</v>
      </c>
      <c r="H140" s="111">
        <v>10000000</v>
      </c>
      <c r="I140" s="111">
        <v>0</v>
      </c>
      <c r="J140" s="112">
        <f>SUM(F140:I140)</f>
        <v>100000000</v>
      </c>
      <c r="K140" s="111">
        <v>0</v>
      </c>
      <c r="L140" s="113">
        <f t="shared" si="28"/>
        <v>100000000</v>
      </c>
    </row>
    <row r="141" spans="1:12" ht="15" customHeight="1" x14ac:dyDescent="0.25">
      <c r="A141" s="626"/>
      <c r="B141" s="646"/>
      <c r="C141" s="676"/>
      <c r="D141" s="632"/>
      <c r="E141" s="50" t="s">
        <v>141</v>
      </c>
      <c r="F141" s="118">
        <v>0</v>
      </c>
      <c r="G141" s="118">
        <v>0</v>
      </c>
      <c r="H141" s="118">
        <v>0</v>
      </c>
      <c r="I141" s="118">
        <v>0</v>
      </c>
      <c r="J141" s="114">
        <f>SUM(F141:I141)</f>
        <v>0</v>
      </c>
      <c r="K141" s="118">
        <v>0</v>
      </c>
      <c r="L141" s="125">
        <f t="shared" si="28"/>
        <v>0</v>
      </c>
    </row>
    <row r="142" spans="1:12" ht="15" customHeight="1" thickBot="1" x14ac:dyDescent="0.3">
      <c r="A142" s="627"/>
      <c r="B142" s="647"/>
      <c r="C142" s="677"/>
      <c r="D142" s="633"/>
      <c r="E142" s="402" t="s">
        <v>105</v>
      </c>
      <c r="F142" s="403">
        <f t="shared" ref="F142:K142" si="43">SUM(F140:F141)</f>
        <v>90000000</v>
      </c>
      <c r="G142" s="403">
        <f t="shared" si="43"/>
        <v>0</v>
      </c>
      <c r="H142" s="403">
        <f t="shared" si="43"/>
        <v>10000000</v>
      </c>
      <c r="I142" s="403">
        <f t="shared" si="43"/>
        <v>0</v>
      </c>
      <c r="J142" s="403">
        <f t="shared" si="43"/>
        <v>100000000</v>
      </c>
      <c r="K142" s="403">
        <f t="shared" si="43"/>
        <v>0</v>
      </c>
      <c r="L142" s="404">
        <f t="shared" si="28"/>
        <v>100000000</v>
      </c>
    </row>
    <row r="143" spans="1:12" ht="15" customHeight="1" x14ac:dyDescent="0.25">
      <c r="A143" s="625" t="s">
        <v>166</v>
      </c>
      <c r="B143" s="648" t="s">
        <v>163</v>
      </c>
      <c r="C143" s="649" t="s">
        <v>164</v>
      </c>
      <c r="D143" s="631">
        <v>1</v>
      </c>
      <c r="E143" s="55" t="s">
        <v>140</v>
      </c>
      <c r="F143" s="111">
        <f>30621+642383</f>
        <v>673004</v>
      </c>
      <c r="G143" s="111">
        <v>0</v>
      </c>
      <c r="H143" s="111">
        <v>0</v>
      </c>
      <c r="I143" s="111">
        <v>0</v>
      </c>
      <c r="J143" s="112">
        <f>SUM(F143:I143)</f>
        <v>673004</v>
      </c>
      <c r="K143" s="111">
        <v>0</v>
      </c>
      <c r="L143" s="116">
        <f t="shared" si="28"/>
        <v>673004</v>
      </c>
    </row>
    <row r="144" spans="1:12" ht="15" customHeight="1" x14ac:dyDescent="0.25">
      <c r="A144" s="626"/>
      <c r="B144" s="646"/>
      <c r="C144" s="650"/>
      <c r="D144" s="632"/>
      <c r="E144" s="50" t="s">
        <v>141</v>
      </c>
      <c r="F144" s="118">
        <v>0</v>
      </c>
      <c r="G144" s="118">
        <v>0</v>
      </c>
      <c r="H144" s="118">
        <v>0</v>
      </c>
      <c r="I144" s="118">
        <v>0</v>
      </c>
      <c r="J144" s="118">
        <v>0</v>
      </c>
      <c r="K144" s="118">
        <v>0</v>
      </c>
      <c r="L144" s="125">
        <f t="shared" si="28"/>
        <v>0</v>
      </c>
    </row>
    <row r="145" spans="1:12" ht="15" customHeight="1" thickBot="1" x14ac:dyDescent="0.3">
      <c r="A145" s="627"/>
      <c r="B145" s="647"/>
      <c r="C145" s="651"/>
      <c r="D145" s="633"/>
      <c r="E145" s="402" t="s">
        <v>105</v>
      </c>
      <c r="F145" s="403">
        <f t="shared" ref="F145:K145" si="44">SUM(F143:F144)</f>
        <v>673004</v>
      </c>
      <c r="G145" s="403">
        <f t="shared" si="44"/>
        <v>0</v>
      </c>
      <c r="H145" s="403">
        <f t="shared" si="44"/>
        <v>0</v>
      </c>
      <c r="I145" s="403">
        <f t="shared" si="44"/>
        <v>0</v>
      </c>
      <c r="J145" s="403">
        <f t="shared" si="44"/>
        <v>673004</v>
      </c>
      <c r="K145" s="403">
        <f t="shared" si="44"/>
        <v>0</v>
      </c>
      <c r="L145" s="404">
        <f t="shared" si="28"/>
        <v>673004</v>
      </c>
    </row>
    <row r="146" spans="1:12" ht="15" customHeight="1" x14ac:dyDescent="0.25">
      <c r="A146" s="625" t="s">
        <v>169</v>
      </c>
      <c r="B146" s="648" t="s">
        <v>167</v>
      </c>
      <c r="C146" s="649" t="s">
        <v>168</v>
      </c>
      <c r="D146" s="631">
        <v>1</v>
      </c>
      <c r="E146" s="55" t="s">
        <v>140</v>
      </c>
      <c r="F146" s="111">
        <f>122000+1470724</f>
        <v>1592724</v>
      </c>
      <c r="G146" s="111">
        <v>0</v>
      </c>
      <c r="H146" s="111">
        <v>0</v>
      </c>
      <c r="I146" s="111">
        <v>0</v>
      </c>
      <c r="J146" s="112">
        <f>SUM(F146:I146)</f>
        <v>1592724</v>
      </c>
      <c r="K146" s="111">
        <v>0</v>
      </c>
      <c r="L146" s="116">
        <f t="shared" si="28"/>
        <v>1592724</v>
      </c>
    </row>
    <row r="147" spans="1:12" ht="15" customHeight="1" x14ac:dyDescent="0.25">
      <c r="A147" s="626"/>
      <c r="B147" s="646"/>
      <c r="C147" s="650"/>
      <c r="D147" s="632"/>
      <c r="E147" s="50" t="s">
        <v>141</v>
      </c>
      <c r="F147" s="118">
        <v>0</v>
      </c>
      <c r="G147" s="118">
        <v>0</v>
      </c>
      <c r="H147" s="118">
        <v>0</v>
      </c>
      <c r="I147" s="118">
        <v>0</v>
      </c>
      <c r="J147" s="118">
        <v>0</v>
      </c>
      <c r="K147" s="118">
        <v>0</v>
      </c>
      <c r="L147" s="125">
        <f t="shared" si="28"/>
        <v>0</v>
      </c>
    </row>
    <row r="148" spans="1:12" ht="15" customHeight="1" thickBot="1" x14ac:dyDescent="0.3">
      <c r="A148" s="627"/>
      <c r="B148" s="647"/>
      <c r="C148" s="651"/>
      <c r="D148" s="633"/>
      <c r="E148" s="402" t="s">
        <v>105</v>
      </c>
      <c r="F148" s="403">
        <f t="shared" ref="F148:K148" si="45">SUM(F146:F147)</f>
        <v>1592724</v>
      </c>
      <c r="G148" s="403">
        <f t="shared" si="45"/>
        <v>0</v>
      </c>
      <c r="H148" s="403">
        <f t="shared" si="45"/>
        <v>0</v>
      </c>
      <c r="I148" s="403">
        <f t="shared" si="45"/>
        <v>0</v>
      </c>
      <c r="J148" s="403">
        <f t="shared" si="45"/>
        <v>1592724</v>
      </c>
      <c r="K148" s="403">
        <f t="shared" si="45"/>
        <v>0</v>
      </c>
      <c r="L148" s="404">
        <f t="shared" si="28"/>
        <v>1592724</v>
      </c>
    </row>
    <row r="149" spans="1:12" ht="15" customHeight="1" x14ac:dyDescent="0.25">
      <c r="A149" s="625" t="s">
        <v>170</v>
      </c>
      <c r="B149" s="648" t="s">
        <v>189</v>
      </c>
      <c r="C149" s="652" t="s">
        <v>190</v>
      </c>
      <c r="D149" s="631">
        <v>1</v>
      </c>
      <c r="E149" s="90" t="s">
        <v>140</v>
      </c>
      <c r="F149" s="111">
        <v>4838200</v>
      </c>
      <c r="G149" s="111">
        <v>0</v>
      </c>
      <c r="H149" s="111">
        <v>0</v>
      </c>
      <c r="I149" s="111">
        <v>2660891</v>
      </c>
      <c r="J149" s="112">
        <f>SUM(F149:I149)</f>
        <v>7499091</v>
      </c>
      <c r="K149" s="111">
        <v>0</v>
      </c>
      <c r="L149" s="113">
        <f t="shared" si="28"/>
        <v>7499091</v>
      </c>
    </row>
    <row r="150" spans="1:12" ht="15" customHeight="1" x14ac:dyDescent="0.25">
      <c r="A150" s="626"/>
      <c r="B150" s="646"/>
      <c r="C150" s="653"/>
      <c r="D150" s="632"/>
      <c r="E150" s="50" t="s">
        <v>141</v>
      </c>
      <c r="F150" s="118">
        <v>0</v>
      </c>
      <c r="G150" s="118">
        <v>0</v>
      </c>
      <c r="H150" s="118">
        <v>0</v>
      </c>
      <c r="I150" s="118">
        <v>0</v>
      </c>
      <c r="J150" s="118">
        <v>0</v>
      </c>
      <c r="K150" s="118">
        <v>0</v>
      </c>
      <c r="L150" s="125">
        <f t="shared" si="28"/>
        <v>0</v>
      </c>
    </row>
    <row r="151" spans="1:12" ht="15" customHeight="1" thickBot="1" x14ac:dyDescent="0.3">
      <c r="A151" s="627"/>
      <c r="B151" s="646"/>
      <c r="C151" s="653"/>
      <c r="D151" s="632"/>
      <c r="E151" s="402" t="s">
        <v>105</v>
      </c>
      <c r="F151" s="403">
        <f t="shared" ref="F151:K151" si="46">SUM(F149:F150)</f>
        <v>4838200</v>
      </c>
      <c r="G151" s="403">
        <f t="shared" si="46"/>
        <v>0</v>
      </c>
      <c r="H151" s="403">
        <f t="shared" si="46"/>
        <v>0</v>
      </c>
      <c r="I151" s="403">
        <f t="shared" si="46"/>
        <v>2660891</v>
      </c>
      <c r="J151" s="403">
        <f t="shared" si="46"/>
        <v>7499091</v>
      </c>
      <c r="K151" s="403">
        <f t="shared" si="46"/>
        <v>0</v>
      </c>
      <c r="L151" s="404">
        <f t="shared" si="28"/>
        <v>7499091</v>
      </c>
    </row>
    <row r="152" spans="1:12" ht="15" customHeight="1" x14ac:dyDescent="0.25">
      <c r="A152" s="625" t="s">
        <v>185</v>
      </c>
      <c r="B152" s="664" t="s">
        <v>192</v>
      </c>
      <c r="C152" s="652" t="s">
        <v>193</v>
      </c>
      <c r="D152" s="631">
        <v>1</v>
      </c>
      <c r="E152" s="55" t="s">
        <v>140</v>
      </c>
      <c r="F152" s="111">
        <v>13883500</v>
      </c>
      <c r="G152" s="111">
        <v>0</v>
      </c>
      <c r="H152" s="111">
        <v>0</v>
      </c>
      <c r="I152" s="111">
        <v>1989777</v>
      </c>
      <c r="J152" s="112">
        <f>SUM(F152:I152)</f>
        <v>15873277</v>
      </c>
      <c r="K152" s="111">
        <v>0</v>
      </c>
      <c r="L152" s="116">
        <f t="shared" si="28"/>
        <v>15873277</v>
      </c>
    </row>
    <row r="153" spans="1:12" ht="15" customHeight="1" x14ac:dyDescent="0.25">
      <c r="A153" s="626"/>
      <c r="B153" s="665"/>
      <c r="C153" s="653"/>
      <c r="D153" s="632"/>
      <c r="E153" s="50" t="s">
        <v>141</v>
      </c>
      <c r="F153" s="118">
        <v>0</v>
      </c>
      <c r="G153" s="118">
        <v>0</v>
      </c>
      <c r="H153" s="118">
        <v>0</v>
      </c>
      <c r="I153" s="118">
        <v>0</v>
      </c>
      <c r="J153" s="118">
        <v>0</v>
      </c>
      <c r="K153" s="118">
        <v>0</v>
      </c>
      <c r="L153" s="125">
        <f t="shared" si="28"/>
        <v>0</v>
      </c>
    </row>
    <row r="154" spans="1:12" ht="15" customHeight="1" thickBot="1" x14ac:dyDescent="0.3">
      <c r="A154" s="627"/>
      <c r="B154" s="666"/>
      <c r="C154" s="654"/>
      <c r="D154" s="633"/>
      <c r="E154" s="402" t="s">
        <v>105</v>
      </c>
      <c r="F154" s="403">
        <f t="shared" ref="F154:K154" si="47">SUM(F152:F153)</f>
        <v>13883500</v>
      </c>
      <c r="G154" s="403">
        <f t="shared" si="47"/>
        <v>0</v>
      </c>
      <c r="H154" s="403">
        <f t="shared" si="47"/>
        <v>0</v>
      </c>
      <c r="I154" s="403">
        <f t="shared" si="47"/>
        <v>1989777</v>
      </c>
      <c r="J154" s="403">
        <f t="shared" si="47"/>
        <v>15873277</v>
      </c>
      <c r="K154" s="403">
        <f t="shared" si="47"/>
        <v>0</v>
      </c>
      <c r="L154" s="404">
        <f t="shared" si="28"/>
        <v>15873277</v>
      </c>
    </row>
    <row r="155" spans="1:12" ht="15" customHeight="1" x14ac:dyDescent="0.25">
      <c r="A155" s="625" t="s">
        <v>186</v>
      </c>
      <c r="B155" s="648" t="s">
        <v>195</v>
      </c>
      <c r="C155" s="652" t="s">
        <v>196</v>
      </c>
      <c r="D155" s="631">
        <v>1</v>
      </c>
      <c r="E155" s="90" t="s">
        <v>140</v>
      </c>
      <c r="F155" s="111">
        <v>20534778</v>
      </c>
      <c r="G155" s="111">
        <v>0</v>
      </c>
      <c r="H155" s="111">
        <v>0</v>
      </c>
      <c r="I155" s="111">
        <v>9431011</v>
      </c>
      <c r="J155" s="112">
        <f>SUM(F155:I155)</f>
        <v>29965789</v>
      </c>
      <c r="K155" s="111">
        <v>0</v>
      </c>
      <c r="L155" s="113">
        <f t="shared" si="28"/>
        <v>29965789</v>
      </c>
    </row>
    <row r="156" spans="1:12" ht="15" customHeight="1" x14ac:dyDescent="0.25">
      <c r="A156" s="626"/>
      <c r="B156" s="646"/>
      <c r="C156" s="653"/>
      <c r="D156" s="632"/>
      <c r="E156" s="50" t="s">
        <v>141</v>
      </c>
      <c r="F156" s="118">
        <v>0</v>
      </c>
      <c r="G156" s="118">
        <v>0</v>
      </c>
      <c r="H156" s="118">
        <v>0</v>
      </c>
      <c r="I156" s="118">
        <v>0</v>
      </c>
      <c r="J156" s="118">
        <v>0</v>
      </c>
      <c r="K156" s="118">
        <v>0</v>
      </c>
      <c r="L156" s="125">
        <f t="shared" si="28"/>
        <v>0</v>
      </c>
    </row>
    <row r="157" spans="1:12" ht="15" customHeight="1" thickBot="1" x14ac:dyDescent="0.3">
      <c r="A157" s="627"/>
      <c r="B157" s="647"/>
      <c r="C157" s="654"/>
      <c r="D157" s="633"/>
      <c r="E157" s="402" t="s">
        <v>105</v>
      </c>
      <c r="F157" s="403">
        <f t="shared" ref="F157:K157" si="48">SUM(F155:F156)</f>
        <v>20534778</v>
      </c>
      <c r="G157" s="403">
        <f t="shared" si="48"/>
        <v>0</v>
      </c>
      <c r="H157" s="403">
        <f t="shared" si="48"/>
        <v>0</v>
      </c>
      <c r="I157" s="403">
        <f t="shared" si="48"/>
        <v>9431011</v>
      </c>
      <c r="J157" s="403">
        <f t="shared" si="48"/>
        <v>29965789</v>
      </c>
      <c r="K157" s="403">
        <f t="shared" si="48"/>
        <v>0</v>
      </c>
      <c r="L157" s="404">
        <f t="shared" si="28"/>
        <v>29965789</v>
      </c>
    </row>
    <row r="158" spans="1:12" ht="15" customHeight="1" x14ac:dyDescent="0.25">
      <c r="A158" s="625" t="s">
        <v>187</v>
      </c>
      <c r="B158" s="648" t="s">
        <v>198</v>
      </c>
      <c r="C158" s="652" t="s">
        <v>199</v>
      </c>
      <c r="D158" s="631">
        <v>1</v>
      </c>
      <c r="E158" s="90" t="s">
        <v>140</v>
      </c>
      <c r="F158" s="111">
        <v>20975000</v>
      </c>
      <c r="G158" s="111">
        <v>0</v>
      </c>
      <c r="H158" s="111">
        <v>0</v>
      </c>
      <c r="I158" s="111">
        <v>8741100</v>
      </c>
      <c r="J158" s="111">
        <f>SUM(F158:I158)</f>
        <v>29716100</v>
      </c>
      <c r="K158" s="111">
        <v>0</v>
      </c>
      <c r="L158" s="113">
        <f t="shared" si="28"/>
        <v>29716100</v>
      </c>
    </row>
    <row r="159" spans="1:12" ht="15" customHeight="1" x14ac:dyDescent="0.25">
      <c r="A159" s="626"/>
      <c r="B159" s="646"/>
      <c r="C159" s="653"/>
      <c r="D159" s="632"/>
      <c r="E159" s="50" t="s">
        <v>141</v>
      </c>
      <c r="F159" s="118">
        <v>0</v>
      </c>
      <c r="G159" s="118">
        <v>0</v>
      </c>
      <c r="H159" s="118">
        <v>0</v>
      </c>
      <c r="I159" s="118">
        <v>0</v>
      </c>
      <c r="J159" s="118">
        <v>0</v>
      </c>
      <c r="K159" s="118">
        <v>0</v>
      </c>
      <c r="L159" s="125">
        <f t="shared" si="28"/>
        <v>0</v>
      </c>
    </row>
    <row r="160" spans="1:12" ht="15" customHeight="1" thickBot="1" x14ac:dyDescent="0.3">
      <c r="A160" s="627"/>
      <c r="B160" s="647"/>
      <c r="C160" s="654"/>
      <c r="D160" s="633"/>
      <c r="E160" s="402" t="s">
        <v>105</v>
      </c>
      <c r="F160" s="403">
        <f t="shared" ref="F160:K160" si="49">SUM(F158:F159)</f>
        <v>20975000</v>
      </c>
      <c r="G160" s="403">
        <f t="shared" si="49"/>
        <v>0</v>
      </c>
      <c r="H160" s="403">
        <f t="shared" si="49"/>
        <v>0</v>
      </c>
      <c r="I160" s="403">
        <f t="shared" si="49"/>
        <v>8741100</v>
      </c>
      <c r="J160" s="403">
        <f t="shared" si="49"/>
        <v>29716100</v>
      </c>
      <c r="K160" s="403">
        <f t="shared" si="49"/>
        <v>0</v>
      </c>
      <c r="L160" s="404">
        <f t="shared" si="28"/>
        <v>29716100</v>
      </c>
    </row>
    <row r="161" spans="1:12" ht="15" customHeight="1" x14ac:dyDescent="0.25">
      <c r="A161" s="625" t="s">
        <v>188</v>
      </c>
      <c r="B161" s="646" t="s">
        <v>201</v>
      </c>
      <c r="C161" s="653" t="s">
        <v>202</v>
      </c>
      <c r="D161" s="632">
        <v>1</v>
      </c>
      <c r="E161" s="90" t="s">
        <v>140</v>
      </c>
      <c r="F161" s="111">
        <v>5914308</v>
      </c>
      <c r="G161" s="111">
        <v>0</v>
      </c>
      <c r="H161" s="111">
        <v>0</v>
      </c>
      <c r="I161" s="111">
        <v>8858595</v>
      </c>
      <c r="J161" s="112">
        <f>SUM(F161:I161)</f>
        <v>14772903</v>
      </c>
      <c r="K161" s="111">
        <v>0</v>
      </c>
      <c r="L161" s="113">
        <f t="shared" si="28"/>
        <v>14772903</v>
      </c>
    </row>
    <row r="162" spans="1:12" ht="15" customHeight="1" x14ac:dyDescent="0.25">
      <c r="A162" s="626"/>
      <c r="B162" s="646"/>
      <c r="C162" s="653"/>
      <c r="D162" s="632"/>
      <c r="E162" s="50" t="s">
        <v>141</v>
      </c>
      <c r="F162" s="118">
        <v>0</v>
      </c>
      <c r="G162" s="118">
        <v>0</v>
      </c>
      <c r="H162" s="118">
        <v>0</v>
      </c>
      <c r="I162" s="118">
        <v>0</v>
      </c>
      <c r="J162" s="118">
        <v>0</v>
      </c>
      <c r="K162" s="118">
        <v>0</v>
      </c>
      <c r="L162" s="125">
        <f t="shared" si="28"/>
        <v>0</v>
      </c>
    </row>
    <row r="163" spans="1:12" ht="15" customHeight="1" thickBot="1" x14ac:dyDescent="0.3">
      <c r="A163" s="627"/>
      <c r="B163" s="647"/>
      <c r="C163" s="654"/>
      <c r="D163" s="633"/>
      <c r="E163" s="402" t="s">
        <v>105</v>
      </c>
      <c r="F163" s="403">
        <f t="shared" ref="F163:K163" si="50">SUM(F161:F162)</f>
        <v>5914308</v>
      </c>
      <c r="G163" s="403">
        <f t="shared" si="50"/>
        <v>0</v>
      </c>
      <c r="H163" s="403">
        <f t="shared" si="50"/>
        <v>0</v>
      </c>
      <c r="I163" s="403">
        <f t="shared" si="50"/>
        <v>8858595</v>
      </c>
      <c r="J163" s="403">
        <f t="shared" si="50"/>
        <v>14772903</v>
      </c>
      <c r="K163" s="403">
        <f t="shared" si="50"/>
        <v>0</v>
      </c>
      <c r="L163" s="404">
        <f t="shared" si="28"/>
        <v>14772903</v>
      </c>
    </row>
    <row r="164" spans="1:12" ht="15" customHeight="1" x14ac:dyDescent="0.25">
      <c r="A164" s="625" t="s">
        <v>191</v>
      </c>
      <c r="B164" s="648" t="s">
        <v>204</v>
      </c>
      <c r="C164" s="652" t="s">
        <v>205</v>
      </c>
      <c r="D164" s="631">
        <v>1</v>
      </c>
      <c r="E164" s="90" t="s">
        <v>140</v>
      </c>
      <c r="F164" s="111">
        <v>10600000</v>
      </c>
      <c r="G164" s="111">
        <v>0</v>
      </c>
      <c r="H164" s="111">
        <v>0</v>
      </c>
      <c r="I164" s="111">
        <v>1004892</v>
      </c>
      <c r="J164" s="112">
        <f>SUM(F164:I164)</f>
        <v>11604892</v>
      </c>
      <c r="K164" s="111">
        <v>0</v>
      </c>
      <c r="L164" s="113">
        <f t="shared" si="28"/>
        <v>11604892</v>
      </c>
    </row>
    <row r="165" spans="1:12" ht="15" customHeight="1" x14ac:dyDescent="0.25">
      <c r="A165" s="626"/>
      <c r="B165" s="646"/>
      <c r="C165" s="653"/>
      <c r="D165" s="632"/>
      <c r="E165" s="50" t="s">
        <v>141</v>
      </c>
      <c r="F165" s="118">
        <v>0</v>
      </c>
      <c r="G165" s="118">
        <v>0</v>
      </c>
      <c r="H165" s="118">
        <v>0</v>
      </c>
      <c r="I165" s="118">
        <v>0</v>
      </c>
      <c r="J165" s="118">
        <v>0</v>
      </c>
      <c r="K165" s="118">
        <v>0</v>
      </c>
      <c r="L165" s="125">
        <f t="shared" si="28"/>
        <v>0</v>
      </c>
    </row>
    <row r="166" spans="1:12" ht="15" customHeight="1" thickBot="1" x14ac:dyDescent="0.3">
      <c r="A166" s="627"/>
      <c r="B166" s="647"/>
      <c r="C166" s="654"/>
      <c r="D166" s="633"/>
      <c r="E166" s="402" t="s">
        <v>105</v>
      </c>
      <c r="F166" s="403">
        <f t="shared" ref="F166:K166" si="51">SUM(F164:F165)</f>
        <v>10600000</v>
      </c>
      <c r="G166" s="403">
        <f t="shared" si="51"/>
        <v>0</v>
      </c>
      <c r="H166" s="403">
        <f t="shared" si="51"/>
        <v>0</v>
      </c>
      <c r="I166" s="403">
        <f t="shared" si="51"/>
        <v>1004892</v>
      </c>
      <c r="J166" s="403">
        <f t="shared" si="51"/>
        <v>11604892</v>
      </c>
      <c r="K166" s="403">
        <f t="shared" si="51"/>
        <v>0</v>
      </c>
      <c r="L166" s="404">
        <f t="shared" si="28"/>
        <v>11604892</v>
      </c>
    </row>
    <row r="167" spans="1:12" ht="15" customHeight="1" x14ac:dyDescent="0.25">
      <c r="A167" s="625" t="s">
        <v>194</v>
      </c>
      <c r="B167" s="646" t="s">
        <v>207</v>
      </c>
      <c r="C167" s="653" t="s">
        <v>208</v>
      </c>
      <c r="D167" s="632">
        <v>1</v>
      </c>
      <c r="E167" s="55" t="s">
        <v>140</v>
      </c>
      <c r="F167" s="111">
        <v>15890750</v>
      </c>
      <c r="G167" s="111">
        <v>0</v>
      </c>
      <c r="H167" s="111">
        <v>0</v>
      </c>
      <c r="I167" s="111">
        <v>6568570</v>
      </c>
      <c r="J167" s="112">
        <f>SUM(F167:I167)</f>
        <v>22459320</v>
      </c>
      <c r="K167" s="111">
        <v>0</v>
      </c>
      <c r="L167" s="116">
        <f t="shared" si="28"/>
        <v>22459320</v>
      </c>
    </row>
    <row r="168" spans="1:12" ht="15" customHeight="1" x14ac:dyDescent="0.25">
      <c r="A168" s="626"/>
      <c r="B168" s="646"/>
      <c r="C168" s="653"/>
      <c r="D168" s="632"/>
      <c r="E168" s="50" t="s">
        <v>141</v>
      </c>
      <c r="F168" s="118">
        <v>0</v>
      </c>
      <c r="G168" s="118">
        <v>0</v>
      </c>
      <c r="H168" s="118">
        <v>0</v>
      </c>
      <c r="I168" s="118">
        <v>0</v>
      </c>
      <c r="J168" s="118">
        <v>0</v>
      </c>
      <c r="K168" s="118">
        <v>0</v>
      </c>
      <c r="L168" s="125">
        <f t="shared" si="28"/>
        <v>0</v>
      </c>
    </row>
    <row r="169" spans="1:12" ht="15" customHeight="1" thickBot="1" x14ac:dyDescent="0.3">
      <c r="A169" s="627"/>
      <c r="B169" s="647"/>
      <c r="C169" s="654"/>
      <c r="D169" s="633"/>
      <c r="E169" s="402" t="s">
        <v>105</v>
      </c>
      <c r="F169" s="403">
        <f t="shared" ref="F169:K169" si="52">SUM(F167:F168)</f>
        <v>15890750</v>
      </c>
      <c r="G169" s="403">
        <f t="shared" si="52"/>
        <v>0</v>
      </c>
      <c r="H169" s="403">
        <f t="shared" si="52"/>
        <v>0</v>
      </c>
      <c r="I169" s="403">
        <f t="shared" si="52"/>
        <v>6568570</v>
      </c>
      <c r="J169" s="403">
        <f t="shared" si="52"/>
        <v>22459320</v>
      </c>
      <c r="K169" s="403">
        <f t="shared" si="52"/>
        <v>0</v>
      </c>
      <c r="L169" s="404">
        <f t="shared" si="28"/>
        <v>22459320</v>
      </c>
    </row>
    <row r="170" spans="1:12" ht="15" customHeight="1" x14ac:dyDescent="0.25">
      <c r="A170" s="625" t="s">
        <v>197</v>
      </c>
      <c r="B170" s="648" t="s">
        <v>211</v>
      </c>
      <c r="C170" s="652" t="s">
        <v>212</v>
      </c>
      <c r="D170" s="632">
        <v>1</v>
      </c>
      <c r="E170" s="90" t="s">
        <v>140</v>
      </c>
      <c r="F170" s="111">
        <v>21921818</v>
      </c>
      <c r="G170" s="111">
        <v>0</v>
      </c>
      <c r="H170" s="111">
        <v>0</v>
      </c>
      <c r="I170" s="111">
        <v>225894</v>
      </c>
      <c r="J170" s="112">
        <f>SUM(F170:I170)</f>
        <v>22147712</v>
      </c>
      <c r="K170" s="111">
        <v>0</v>
      </c>
      <c r="L170" s="113">
        <f t="shared" si="28"/>
        <v>22147712</v>
      </c>
    </row>
    <row r="171" spans="1:12" ht="15" customHeight="1" x14ac:dyDescent="0.25">
      <c r="A171" s="626"/>
      <c r="B171" s="646"/>
      <c r="C171" s="653"/>
      <c r="D171" s="632"/>
      <c r="E171" s="50" t="s">
        <v>141</v>
      </c>
      <c r="F171" s="118">
        <v>0</v>
      </c>
      <c r="G171" s="118">
        <v>0</v>
      </c>
      <c r="H171" s="118">
        <v>0</v>
      </c>
      <c r="I171" s="118">
        <v>0</v>
      </c>
      <c r="J171" s="118">
        <v>0</v>
      </c>
      <c r="K171" s="118">
        <v>0</v>
      </c>
      <c r="L171" s="125">
        <f t="shared" si="28"/>
        <v>0</v>
      </c>
    </row>
    <row r="172" spans="1:12" ht="15" customHeight="1" thickBot="1" x14ac:dyDescent="0.3">
      <c r="A172" s="627"/>
      <c r="B172" s="647"/>
      <c r="C172" s="654"/>
      <c r="D172" s="633"/>
      <c r="E172" s="402" t="s">
        <v>105</v>
      </c>
      <c r="F172" s="403">
        <f t="shared" ref="F172:K172" si="53">SUM(F170:F171)</f>
        <v>21921818</v>
      </c>
      <c r="G172" s="403">
        <f t="shared" si="53"/>
        <v>0</v>
      </c>
      <c r="H172" s="403">
        <f t="shared" si="53"/>
        <v>0</v>
      </c>
      <c r="I172" s="403">
        <f t="shared" si="53"/>
        <v>225894</v>
      </c>
      <c r="J172" s="403">
        <f t="shared" si="53"/>
        <v>22147712</v>
      </c>
      <c r="K172" s="403">
        <f t="shared" si="53"/>
        <v>0</v>
      </c>
      <c r="L172" s="404">
        <f t="shared" si="28"/>
        <v>22147712</v>
      </c>
    </row>
    <row r="173" spans="1:12" ht="15" customHeight="1" x14ac:dyDescent="0.25">
      <c r="A173" s="667" t="s">
        <v>109</v>
      </c>
      <c r="B173" s="668"/>
      <c r="C173" s="668"/>
      <c r="D173" s="669"/>
      <c r="E173" s="331" t="s">
        <v>140</v>
      </c>
      <c r="F173" s="429">
        <f>F98+F101+F104+F107+F110+F113+F116+F119+F122+F125+F128+F131+F134+F137+F140+F143+F146+F149+F152+F155+F158+F161+F164+F167+F170</f>
        <v>645060326</v>
      </c>
      <c r="G173" s="429">
        <f t="shared" ref="G173:L174" si="54">G98+G101+G104+G107+G110+G113+G116+G119+G122+G125+G128+G131+G134+G137+G140+G143+G146+G149+G152+G155+G158+G161+G164+G167+G170</f>
        <v>87685176</v>
      </c>
      <c r="H173" s="429">
        <f t="shared" si="54"/>
        <v>10000000</v>
      </c>
      <c r="I173" s="429">
        <f t="shared" si="54"/>
        <v>567944686</v>
      </c>
      <c r="J173" s="429">
        <f t="shared" si="54"/>
        <v>1310690188</v>
      </c>
      <c r="K173" s="429">
        <f t="shared" si="54"/>
        <v>8363467</v>
      </c>
      <c r="L173" s="430">
        <f t="shared" si="54"/>
        <v>1319053655</v>
      </c>
    </row>
    <row r="174" spans="1:12" ht="15" customHeight="1" x14ac:dyDescent="0.25">
      <c r="A174" s="670"/>
      <c r="B174" s="671"/>
      <c r="C174" s="671"/>
      <c r="D174" s="672"/>
      <c r="E174" s="340" t="s">
        <v>141</v>
      </c>
      <c r="F174" s="431">
        <f>F99+F102+F105+F108+F111+F114+F117+F120+F123+F126+F129+F132+F135+F138+F141+F144+F147+F150+F153+F156+F159+F162+F165+F168+F171</f>
        <v>6583437</v>
      </c>
      <c r="G174" s="431">
        <f t="shared" si="54"/>
        <v>0</v>
      </c>
      <c r="H174" s="431">
        <f t="shared" si="54"/>
        <v>0</v>
      </c>
      <c r="I174" s="431">
        <f t="shared" si="54"/>
        <v>0</v>
      </c>
      <c r="J174" s="431">
        <f t="shared" si="54"/>
        <v>6583437</v>
      </c>
      <c r="K174" s="431">
        <f t="shared" si="54"/>
        <v>0</v>
      </c>
      <c r="L174" s="432">
        <f t="shared" si="54"/>
        <v>6583437</v>
      </c>
    </row>
    <row r="175" spans="1:12" ht="15" customHeight="1" thickBot="1" x14ac:dyDescent="0.3">
      <c r="A175" s="593"/>
      <c r="B175" s="594"/>
      <c r="C175" s="594"/>
      <c r="D175" s="673"/>
      <c r="E175" s="341" t="s">
        <v>105</v>
      </c>
      <c r="F175" s="338">
        <f t="shared" ref="F175:L175" si="55">SUM(F173:F174)</f>
        <v>651643763</v>
      </c>
      <c r="G175" s="338">
        <f>SUM(G173:G174)</f>
        <v>87685176</v>
      </c>
      <c r="H175" s="338">
        <f t="shared" si="55"/>
        <v>10000000</v>
      </c>
      <c r="I175" s="338">
        <f t="shared" si="55"/>
        <v>567944686</v>
      </c>
      <c r="J175" s="338">
        <f t="shared" si="55"/>
        <v>1317273625</v>
      </c>
      <c r="K175" s="338">
        <f t="shared" si="55"/>
        <v>8363467</v>
      </c>
      <c r="L175" s="339">
        <f t="shared" si="55"/>
        <v>1325637092</v>
      </c>
    </row>
  </sheetData>
  <mergeCells count="239">
    <mergeCell ref="A170:A172"/>
    <mergeCell ref="B170:B172"/>
    <mergeCell ref="C170:C172"/>
    <mergeCell ref="D170:D172"/>
    <mergeCell ref="A173:D175"/>
    <mergeCell ref="A164:A166"/>
    <mergeCell ref="B164:B166"/>
    <mergeCell ref="C164:C166"/>
    <mergeCell ref="D164:D166"/>
    <mergeCell ref="A167:A169"/>
    <mergeCell ref="B167:B169"/>
    <mergeCell ref="C167:C169"/>
    <mergeCell ref="D167:D169"/>
    <mergeCell ref="A158:A160"/>
    <mergeCell ref="B158:B160"/>
    <mergeCell ref="C158:C160"/>
    <mergeCell ref="D158:D160"/>
    <mergeCell ref="A161:A163"/>
    <mergeCell ref="B161:B163"/>
    <mergeCell ref="C161:C163"/>
    <mergeCell ref="D161:D163"/>
    <mergeCell ref="A152:A154"/>
    <mergeCell ref="B152:B154"/>
    <mergeCell ref="C152:C154"/>
    <mergeCell ref="D152:D154"/>
    <mergeCell ref="A155:A157"/>
    <mergeCell ref="B155:B157"/>
    <mergeCell ref="C155:C157"/>
    <mergeCell ref="D155:D157"/>
    <mergeCell ref="A146:A148"/>
    <mergeCell ref="B146:B148"/>
    <mergeCell ref="C146:C148"/>
    <mergeCell ref="D146:D148"/>
    <mergeCell ref="A149:A151"/>
    <mergeCell ref="B149:B151"/>
    <mergeCell ref="C149:C151"/>
    <mergeCell ref="D149:D151"/>
    <mergeCell ref="A140:A142"/>
    <mergeCell ref="B140:B142"/>
    <mergeCell ref="C140:C142"/>
    <mergeCell ref="D140:D142"/>
    <mergeCell ref="A143:A145"/>
    <mergeCell ref="B143:B145"/>
    <mergeCell ref="C143:C145"/>
    <mergeCell ref="D143:D145"/>
    <mergeCell ref="A134:A136"/>
    <mergeCell ref="B134:B136"/>
    <mergeCell ref="C134:C136"/>
    <mergeCell ref="D134:D136"/>
    <mergeCell ref="A137:A139"/>
    <mergeCell ref="B137:B139"/>
    <mergeCell ref="C137:C139"/>
    <mergeCell ref="D137:D139"/>
    <mergeCell ref="A128:A130"/>
    <mergeCell ref="B128:B130"/>
    <mergeCell ref="C128:C130"/>
    <mergeCell ref="D128:D130"/>
    <mergeCell ref="A131:A133"/>
    <mergeCell ref="B131:B133"/>
    <mergeCell ref="C131:C133"/>
    <mergeCell ref="D131:D133"/>
    <mergeCell ref="A122:A124"/>
    <mergeCell ref="B122:B124"/>
    <mergeCell ref="C122:C124"/>
    <mergeCell ref="D122:D124"/>
    <mergeCell ref="A125:A127"/>
    <mergeCell ref="B125:B127"/>
    <mergeCell ref="C125:C127"/>
    <mergeCell ref="D125:D127"/>
    <mergeCell ref="A116:A118"/>
    <mergeCell ref="B116:B118"/>
    <mergeCell ref="C116:C118"/>
    <mergeCell ref="D116:D118"/>
    <mergeCell ref="A119:A121"/>
    <mergeCell ref="B119:B121"/>
    <mergeCell ref="C119:C121"/>
    <mergeCell ref="D119:D121"/>
    <mergeCell ref="A110:A112"/>
    <mergeCell ref="B110:B112"/>
    <mergeCell ref="C110:C112"/>
    <mergeCell ref="D110:D112"/>
    <mergeCell ref="A113:A115"/>
    <mergeCell ref="B113:B115"/>
    <mergeCell ref="C113:C115"/>
    <mergeCell ref="D113:D115"/>
    <mergeCell ref="A104:A106"/>
    <mergeCell ref="B104:B106"/>
    <mergeCell ref="C104:C106"/>
    <mergeCell ref="D104:D106"/>
    <mergeCell ref="A107:A109"/>
    <mergeCell ref="B107:B109"/>
    <mergeCell ref="C107:C109"/>
    <mergeCell ref="D107:D109"/>
    <mergeCell ref="A98:A100"/>
    <mergeCell ref="B98:B100"/>
    <mergeCell ref="C98:C100"/>
    <mergeCell ref="D98:D100"/>
    <mergeCell ref="A101:A103"/>
    <mergeCell ref="B101:B103"/>
    <mergeCell ref="C101:C103"/>
    <mergeCell ref="D101:D103"/>
    <mergeCell ref="D95:D97"/>
    <mergeCell ref="E95:E97"/>
    <mergeCell ref="F95:J95"/>
    <mergeCell ref="F96:G96"/>
    <mergeCell ref="H96:H97"/>
    <mergeCell ref="I96:I97"/>
    <mergeCell ref="J96:J97"/>
    <mergeCell ref="A91:H91"/>
    <mergeCell ref="A93:A97"/>
    <mergeCell ref="B93:D94"/>
    <mergeCell ref="E93:L93"/>
    <mergeCell ref="E94:J94"/>
    <mergeCell ref="K94:K97"/>
    <mergeCell ref="L94:L97"/>
    <mergeCell ref="B95:B97"/>
    <mergeCell ref="C95:C97"/>
    <mergeCell ref="A82:A84"/>
    <mergeCell ref="B82:B84"/>
    <mergeCell ref="C82:C84"/>
    <mergeCell ref="D82:D84"/>
    <mergeCell ref="A85:A87"/>
    <mergeCell ref="B85:B87"/>
    <mergeCell ref="C85:C87"/>
    <mergeCell ref="D85:D87"/>
    <mergeCell ref="A88:D90"/>
    <mergeCell ref="A76:A78"/>
    <mergeCell ref="B76:B78"/>
    <mergeCell ref="C76:C78"/>
    <mergeCell ref="D76:D78"/>
    <mergeCell ref="A79:A81"/>
    <mergeCell ref="B79:B81"/>
    <mergeCell ref="C79:C81"/>
    <mergeCell ref="D79:D81"/>
    <mergeCell ref="A70:A72"/>
    <mergeCell ref="B70:B72"/>
    <mergeCell ref="C70:C72"/>
    <mergeCell ref="D70:D72"/>
    <mergeCell ref="A73:A75"/>
    <mergeCell ref="B73:B75"/>
    <mergeCell ref="C73:C75"/>
    <mergeCell ref="D73:D75"/>
    <mergeCell ref="A64:A66"/>
    <mergeCell ref="B64:B66"/>
    <mergeCell ref="C64:C66"/>
    <mergeCell ref="D64:D66"/>
    <mergeCell ref="A67:A69"/>
    <mergeCell ref="B67:B69"/>
    <mergeCell ref="C67:C69"/>
    <mergeCell ref="D67:D69"/>
    <mergeCell ref="A58:A60"/>
    <mergeCell ref="B58:B60"/>
    <mergeCell ref="C58:C60"/>
    <mergeCell ref="D58:D60"/>
    <mergeCell ref="A61:A63"/>
    <mergeCell ref="B61:B63"/>
    <mergeCell ref="C61:C63"/>
    <mergeCell ref="D61:D63"/>
    <mergeCell ref="A52:A54"/>
    <mergeCell ref="B52:B54"/>
    <mergeCell ref="C52:C54"/>
    <mergeCell ref="D52:D54"/>
    <mergeCell ref="A55:A57"/>
    <mergeCell ref="B55:B57"/>
    <mergeCell ref="C55:C57"/>
    <mergeCell ref="D55:D57"/>
    <mergeCell ref="A46:A48"/>
    <mergeCell ref="B46:B48"/>
    <mergeCell ref="C46:C48"/>
    <mergeCell ref="D46:D48"/>
    <mergeCell ref="A49:A51"/>
    <mergeCell ref="B49:B51"/>
    <mergeCell ref="C49:C51"/>
    <mergeCell ref="D49:D51"/>
    <mergeCell ref="A40:A42"/>
    <mergeCell ref="B40:B42"/>
    <mergeCell ref="C40:C42"/>
    <mergeCell ref="D40:D42"/>
    <mergeCell ref="A43:A45"/>
    <mergeCell ref="B43:B45"/>
    <mergeCell ref="C43:C45"/>
    <mergeCell ref="D43:D45"/>
    <mergeCell ref="A34:A36"/>
    <mergeCell ref="B34:B36"/>
    <mergeCell ref="C34:C36"/>
    <mergeCell ref="D34:D36"/>
    <mergeCell ref="A37:A39"/>
    <mergeCell ref="B37:B39"/>
    <mergeCell ref="C37:C39"/>
    <mergeCell ref="D37:D39"/>
    <mergeCell ref="A28:A30"/>
    <mergeCell ref="B28:B30"/>
    <mergeCell ref="C28:C30"/>
    <mergeCell ref="D28:D30"/>
    <mergeCell ref="A31:A33"/>
    <mergeCell ref="B31:B33"/>
    <mergeCell ref="C31:C33"/>
    <mergeCell ref="D31:D33"/>
    <mergeCell ref="A22:A24"/>
    <mergeCell ref="B22:B24"/>
    <mergeCell ref="C22:C24"/>
    <mergeCell ref="D22:D24"/>
    <mergeCell ref="A25:A27"/>
    <mergeCell ref="B25:B27"/>
    <mergeCell ref="C25:C27"/>
    <mergeCell ref="D25:D27"/>
    <mergeCell ref="A16:A18"/>
    <mergeCell ref="B16:B18"/>
    <mergeCell ref="C16:C18"/>
    <mergeCell ref="D16:D18"/>
    <mergeCell ref="A19:A21"/>
    <mergeCell ref="B19:B21"/>
    <mergeCell ref="C19:C21"/>
    <mergeCell ref="D19:D21"/>
    <mergeCell ref="F10:J10"/>
    <mergeCell ref="F11:G11"/>
    <mergeCell ref="H11:H12"/>
    <mergeCell ref="I11:I12"/>
    <mergeCell ref="J11:J12"/>
    <mergeCell ref="A13:A15"/>
    <mergeCell ref="B13:B15"/>
    <mergeCell ref="C13:C15"/>
    <mergeCell ref="D13:D15"/>
    <mergeCell ref="A8:A12"/>
    <mergeCell ref="B8:D9"/>
    <mergeCell ref="E8:L8"/>
    <mergeCell ref="E9:J9"/>
    <mergeCell ref="K9:K12"/>
    <mergeCell ref="L9:L12"/>
    <mergeCell ref="B10:B12"/>
    <mergeCell ref="C10:C12"/>
    <mergeCell ref="D10:D12"/>
    <mergeCell ref="E10:E12"/>
    <mergeCell ref="E1:L1"/>
    <mergeCell ref="A3:L3"/>
    <mergeCell ref="A4:L4"/>
    <mergeCell ref="A5:L5"/>
    <mergeCell ref="A6:L6"/>
    <mergeCell ref="K7:L7"/>
  </mergeCells>
  <printOptions horizontalCentered="1"/>
  <pageMargins left="0.31496062992125984" right="0.11811023622047245" top="0.39370078740157483" bottom="0.39370078740157483" header="0.31496062992125984" footer="0.31496062992125984"/>
  <pageSetup paperSize="9" scale="81" orientation="landscape" r:id="rId1"/>
  <rowBreaks count="4" manualBreakCount="4">
    <brk id="42" max="11" man="1"/>
    <brk id="81" max="11" man="1"/>
    <brk id="118" max="11" man="1"/>
    <brk id="157" max="11" man="1"/>
  </rowBreaks>
  <colBreaks count="1" manualBreakCount="1">
    <brk id="1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15E7D-BFAB-48EE-9B7A-D0A7691B3548}">
  <sheetPr>
    <tabColor theme="6" tint="0.59999389629810485"/>
  </sheetPr>
  <dimension ref="A1:K173"/>
  <sheetViews>
    <sheetView topLeftCell="A64" zoomScaleNormal="100" workbookViewId="0">
      <selection activeCell="P7" sqref="P7"/>
    </sheetView>
  </sheetViews>
  <sheetFormatPr defaultColWidth="9.140625" defaultRowHeight="15.75" x14ac:dyDescent="0.25"/>
  <cols>
    <col min="1" max="1" width="4.5703125" style="63" customWidth="1"/>
    <col min="2" max="2" width="20.140625" style="63" customWidth="1"/>
    <col min="3" max="3" width="29.140625" style="63" customWidth="1"/>
    <col min="4" max="4" width="13.28515625" style="63" customWidth="1"/>
    <col min="5" max="5" width="13.42578125" style="63" customWidth="1"/>
    <col min="6" max="6" width="13.7109375" style="63" customWidth="1"/>
    <col min="7" max="7" width="11.7109375" style="63" customWidth="1"/>
    <col min="8" max="8" width="13.7109375" style="63" customWidth="1"/>
    <col min="9" max="9" width="11.7109375" style="63" customWidth="1"/>
    <col min="10" max="10" width="13.28515625" style="63" customWidth="1"/>
    <col min="11" max="11" width="14.7109375" style="63" customWidth="1"/>
    <col min="12" max="16384" width="9.140625" style="63"/>
  </cols>
  <sheetData>
    <row r="1" spans="1:11" ht="18" customHeight="1" x14ac:dyDescent="0.25">
      <c r="A1" s="4"/>
      <c r="B1" s="4"/>
      <c r="C1" s="4"/>
      <c r="D1" s="4"/>
      <c r="E1" s="458" t="s">
        <v>327</v>
      </c>
      <c r="F1" s="458"/>
      <c r="G1" s="458"/>
      <c r="H1" s="458"/>
      <c r="I1" s="458"/>
      <c r="J1" s="458"/>
      <c r="K1" s="458"/>
    </row>
    <row r="2" spans="1:11" ht="16.5" customHeight="1" x14ac:dyDescent="0.25">
      <c r="A2" s="47"/>
      <c r="B2" s="47"/>
      <c r="C2" s="47"/>
      <c r="D2" s="47"/>
      <c r="E2" s="47"/>
      <c r="F2" s="225"/>
      <c r="G2" s="225"/>
      <c r="H2" s="89"/>
      <c r="I2" s="225"/>
      <c r="J2" s="225"/>
      <c r="K2" s="225"/>
    </row>
    <row r="3" spans="1:11" ht="16.5" customHeight="1" x14ac:dyDescent="0.25">
      <c r="A3" s="470" t="s">
        <v>357</v>
      </c>
      <c r="B3" s="470"/>
      <c r="C3" s="470"/>
      <c r="D3" s="470"/>
      <c r="E3" s="470"/>
      <c r="F3" s="470"/>
      <c r="G3" s="470"/>
      <c r="H3" s="470"/>
      <c r="I3" s="470"/>
      <c r="J3" s="470"/>
      <c r="K3" s="470"/>
    </row>
    <row r="4" spans="1:11" ht="15.95" customHeight="1" x14ac:dyDescent="0.25">
      <c r="A4" s="576" t="s">
        <v>173</v>
      </c>
      <c r="B4" s="576"/>
      <c r="C4" s="576"/>
      <c r="D4" s="576"/>
      <c r="E4" s="576"/>
      <c r="F4" s="576"/>
      <c r="G4" s="576"/>
      <c r="H4" s="576"/>
      <c r="I4" s="576"/>
      <c r="J4" s="576"/>
      <c r="K4" s="576"/>
    </row>
    <row r="5" spans="1:11" s="110" customFormat="1" ht="15.95" customHeight="1" x14ac:dyDescent="0.25">
      <c r="A5" s="470" t="s">
        <v>287</v>
      </c>
      <c r="B5" s="470"/>
      <c r="C5" s="470"/>
      <c r="D5" s="470"/>
      <c r="E5" s="470"/>
      <c r="F5" s="470"/>
      <c r="G5" s="470"/>
      <c r="H5" s="470"/>
      <c r="I5" s="470"/>
      <c r="J5" s="470"/>
      <c r="K5" s="470"/>
    </row>
    <row r="6" spans="1:11" s="110" customFormat="1" ht="15.95" customHeight="1" x14ac:dyDescent="0.25">
      <c r="A6" s="470"/>
      <c r="B6" s="470"/>
      <c r="C6" s="470"/>
      <c r="D6" s="470"/>
      <c r="E6" s="470"/>
      <c r="F6" s="470"/>
      <c r="G6" s="470"/>
      <c r="H6" s="470"/>
      <c r="I6" s="470"/>
      <c r="J6" s="470"/>
      <c r="K6" s="470"/>
    </row>
    <row r="7" spans="1:11" ht="16.5" thickBot="1" x14ac:dyDescent="0.3">
      <c r="J7" s="624" t="s">
        <v>252</v>
      </c>
      <c r="K7" s="624"/>
    </row>
    <row r="8" spans="1:11" ht="15.75" customHeight="1" x14ac:dyDescent="0.25">
      <c r="A8" s="638" t="s">
        <v>9</v>
      </c>
      <c r="B8" s="641" t="s">
        <v>96</v>
      </c>
      <c r="C8" s="641"/>
      <c r="D8" s="641"/>
      <c r="E8" s="678" t="s">
        <v>289</v>
      </c>
      <c r="F8" s="678"/>
      <c r="G8" s="678"/>
      <c r="H8" s="678"/>
      <c r="I8" s="678"/>
      <c r="J8" s="678"/>
      <c r="K8" s="679"/>
    </row>
    <row r="9" spans="1:11" ht="15.95" customHeight="1" x14ac:dyDescent="0.25">
      <c r="A9" s="639"/>
      <c r="B9" s="618"/>
      <c r="C9" s="618"/>
      <c r="D9" s="618"/>
      <c r="E9" s="634" t="s">
        <v>142</v>
      </c>
      <c r="F9" s="634"/>
      <c r="G9" s="634"/>
      <c r="H9" s="634"/>
      <c r="I9" s="634"/>
      <c r="J9" s="634"/>
      <c r="K9" s="680"/>
    </row>
    <row r="10" spans="1:11" ht="15.95" customHeight="1" x14ac:dyDescent="0.25">
      <c r="A10" s="639"/>
      <c r="B10" s="681" t="s">
        <v>100</v>
      </c>
      <c r="C10" s="618" t="s">
        <v>101</v>
      </c>
      <c r="D10" s="618" t="s">
        <v>172</v>
      </c>
      <c r="E10" s="618" t="s">
        <v>138</v>
      </c>
      <c r="F10" s="634" t="s">
        <v>108</v>
      </c>
      <c r="G10" s="634"/>
      <c r="H10" s="634"/>
      <c r="I10" s="634"/>
      <c r="J10" s="634"/>
      <c r="K10" s="680"/>
    </row>
    <row r="11" spans="1:11" ht="24.75" customHeight="1" thickBot="1" x14ac:dyDescent="0.3">
      <c r="A11" s="640"/>
      <c r="B11" s="682"/>
      <c r="C11" s="619"/>
      <c r="D11" s="619"/>
      <c r="E11" s="619"/>
      <c r="F11" s="328" t="s">
        <v>143</v>
      </c>
      <c r="G11" s="328" t="s">
        <v>144</v>
      </c>
      <c r="H11" s="328" t="s">
        <v>145</v>
      </c>
      <c r="I11" s="329" t="s">
        <v>150</v>
      </c>
      <c r="J11" s="327" t="s">
        <v>146</v>
      </c>
      <c r="K11" s="330" t="s">
        <v>105</v>
      </c>
    </row>
    <row r="12" spans="1:11" s="281" customFormat="1" ht="15" customHeight="1" x14ac:dyDescent="0.25">
      <c r="A12" s="625" t="s">
        <v>1</v>
      </c>
      <c r="B12" s="628" t="s">
        <v>156</v>
      </c>
      <c r="C12" s="628" t="s">
        <v>157</v>
      </c>
      <c r="D12" s="631">
        <v>0.95</v>
      </c>
      <c r="E12" s="282" t="s">
        <v>140</v>
      </c>
      <c r="F12" s="112">
        <f>269027+209766</f>
        <v>478793</v>
      </c>
      <c r="G12" s="112">
        <f>34973+11139</f>
        <v>46112</v>
      </c>
      <c r="H12" s="112">
        <f>2000000+129074</f>
        <v>2129074</v>
      </c>
      <c r="I12" s="112">
        <v>0</v>
      </c>
      <c r="J12" s="123">
        <v>0</v>
      </c>
      <c r="K12" s="283">
        <f>F12+G12+H12+I12+J12</f>
        <v>2653979</v>
      </c>
    </row>
    <row r="13" spans="1:11" s="281" customFormat="1" ht="15" customHeight="1" x14ac:dyDescent="0.25">
      <c r="A13" s="626"/>
      <c r="B13" s="629"/>
      <c r="C13" s="629"/>
      <c r="D13" s="632"/>
      <c r="E13" s="126" t="s">
        <v>141</v>
      </c>
      <c r="F13" s="127">
        <v>570000</v>
      </c>
      <c r="G13" s="127">
        <v>75525</v>
      </c>
      <c r="H13" s="127">
        <v>0</v>
      </c>
      <c r="I13" s="127">
        <v>0</v>
      </c>
      <c r="J13" s="284">
        <v>0</v>
      </c>
      <c r="K13" s="280">
        <f>F13+G13+H13+I13+J13</f>
        <v>645525</v>
      </c>
    </row>
    <row r="14" spans="1:11" ht="15" customHeight="1" thickBot="1" x14ac:dyDescent="0.3">
      <c r="A14" s="627"/>
      <c r="B14" s="630"/>
      <c r="C14" s="630"/>
      <c r="D14" s="633"/>
      <c r="E14" s="405" t="s">
        <v>105</v>
      </c>
      <c r="F14" s="403">
        <f t="shared" ref="F14:K14" si="0">SUM(F12:F13)</f>
        <v>1048793</v>
      </c>
      <c r="G14" s="403">
        <f t="shared" si="0"/>
        <v>121637</v>
      </c>
      <c r="H14" s="403">
        <f t="shared" si="0"/>
        <v>2129074</v>
      </c>
      <c r="I14" s="403">
        <f t="shared" si="0"/>
        <v>0</v>
      </c>
      <c r="J14" s="403">
        <f t="shared" si="0"/>
        <v>0</v>
      </c>
      <c r="K14" s="404">
        <f t="shared" si="0"/>
        <v>3299504</v>
      </c>
    </row>
    <row r="15" spans="1:11" ht="15" customHeight="1" x14ac:dyDescent="0.25">
      <c r="A15" s="625" t="s">
        <v>2</v>
      </c>
      <c r="B15" s="628" t="s">
        <v>158</v>
      </c>
      <c r="C15" s="628" t="s">
        <v>159</v>
      </c>
      <c r="D15" s="631">
        <v>0.95</v>
      </c>
      <c r="E15" s="90" t="s">
        <v>140</v>
      </c>
      <c r="F15" s="111">
        <v>0</v>
      </c>
      <c r="G15" s="111">
        <v>0</v>
      </c>
      <c r="H15" s="111">
        <v>0</v>
      </c>
      <c r="I15" s="111">
        <v>0</v>
      </c>
      <c r="J15" s="117">
        <v>0</v>
      </c>
      <c r="K15" s="113">
        <f>F15+G15+H15+I15+J15</f>
        <v>0</v>
      </c>
    </row>
    <row r="16" spans="1:11" ht="15" customHeight="1" x14ac:dyDescent="0.25">
      <c r="A16" s="626"/>
      <c r="B16" s="629"/>
      <c r="C16" s="629"/>
      <c r="D16" s="632"/>
      <c r="E16" s="55" t="s">
        <v>141</v>
      </c>
      <c r="F16" s="119">
        <v>693000</v>
      </c>
      <c r="G16" s="119">
        <v>94378</v>
      </c>
      <c r="H16" s="119">
        <v>0</v>
      </c>
      <c r="I16" s="119">
        <v>0</v>
      </c>
      <c r="J16" s="115">
        <v>0</v>
      </c>
      <c r="K16" s="116">
        <f>F16+G16+H16+I16+J16</f>
        <v>787378</v>
      </c>
    </row>
    <row r="17" spans="1:11" ht="15" customHeight="1" thickBot="1" x14ac:dyDescent="0.3">
      <c r="A17" s="627"/>
      <c r="B17" s="630"/>
      <c r="C17" s="630"/>
      <c r="D17" s="633"/>
      <c r="E17" s="405" t="s">
        <v>105</v>
      </c>
      <c r="F17" s="403">
        <f t="shared" ref="F17:K17" si="1">SUM(F15:F16)</f>
        <v>693000</v>
      </c>
      <c r="G17" s="403">
        <f t="shared" si="1"/>
        <v>94378</v>
      </c>
      <c r="H17" s="403">
        <f t="shared" si="1"/>
        <v>0</v>
      </c>
      <c r="I17" s="403">
        <f t="shared" si="1"/>
        <v>0</v>
      </c>
      <c r="J17" s="403">
        <f t="shared" si="1"/>
        <v>0</v>
      </c>
      <c r="K17" s="404">
        <f t="shared" si="1"/>
        <v>787378</v>
      </c>
    </row>
    <row r="18" spans="1:11" ht="15" customHeight="1" x14ac:dyDescent="0.25">
      <c r="A18" s="625" t="s">
        <v>4</v>
      </c>
      <c r="B18" s="628" t="s">
        <v>175</v>
      </c>
      <c r="C18" s="628" t="s">
        <v>176</v>
      </c>
      <c r="D18" s="631">
        <v>0.95</v>
      </c>
      <c r="E18" s="90" t="s">
        <v>140</v>
      </c>
      <c r="F18" s="111">
        <v>3771520</v>
      </c>
      <c r="G18" s="111">
        <v>598576</v>
      </c>
      <c r="H18" s="111">
        <v>4529600</v>
      </c>
      <c r="I18" s="111">
        <v>0</v>
      </c>
      <c r="J18" s="117">
        <v>0</v>
      </c>
      <c r="K18" s="113">
        <f>F18+G18+H18+I18+J18</f>
        <v>8899696</v>
      </c>
    </row>
    <row r="19" spans="1:11" ht="15" customHeight="1" x14ac:dyDescent="0.25">
      <c r="A19" s="626"/>
      <c r="B19" s="629"/>
      <c r="C19" s="629"/>
      <c r="D19" s="632"/>
      <c r="E19" s="55" t="s">
        <v>141</v>
      </c>
      <c r="F19" s="119">
        <v>6408710</v>
      </c>
      <c r="G19" s="119">
        <v>849234</v>
      </c>
      <c r="H19" s="119">
        <v>0</v>
      </c>
      <c r="I19" s="119">
        <v>0</v>
      </c>
      <c r="J19" s="115">
        <v>0</v>
      </c>
      <c r="K19" s="116">
        <f>F19+G19+H19+I19+J19</f>
        <v>7257944</v>
      </c>
    </row>
    <row r="20" spans="1:11" ht="15" customHeight="1" thickBot="1" x14ac:dyDescent="0.3">
      <c r="A20" s="627"/>
      <c r="B20" s="630"/>
      <c r="C20" s="630"/>
      <c r="D20" s="633"/>
      <c r="E20" s="405" t="s">
        <v>105</v>
      </c>
      <c r="F20" s="403">
        <f t="shared" ref="F20:K20" si="2">SUM(F18:F19)</f>
        <v>10180230</v>
      </c>
      <c r="G20" s="403">
        <f t="shared" si="2"/>
        <v>1447810</v>
      </c>
      <c r="H20" s="403">
        <f t="shared" si="2"/>
        <v>4529600</v>
      </c>
      <c r="I20" s="403">
        <f t="shared" si="2"/>
        <v>0</v>
      </c>
      <c r="J20" s="403">
        <f t="shared" si="2"/>
        <v>0</v>
      </c>
      <c r="K20" s="404">
        <f t="shared" si="2"/>
        <v>16157640</v>
      </c>
    </row>
    <row r="21" spans="1:11" ht="15" customHeight="1" x14ac:dyDescent="0.25">
      <c r="A21" s="625" t="s">
        <v>5</v>
      </c>
      <c r="B21" s="628" t="s">
        <v>177</v>
      </c>
      <c r="C21" s="628" t="s">
        <v>178</v>
      </c>
      <c r="D21" s="631">
        <v>0.95</v>
      </c>
      <c r="E21" s="90" t="s">
        <v>140</v>
      </c>
      <c r="F21" s="111">
        <f>700000+265000</f>
        <v>965000</v>
      </c>
      <c r="G21" s="111">
        <v>231280</v>
      </c>
      <c r="H21" s="111">
        <f>3568720-265000</f>
        <v>3303720</v>
      </c>
      <c r="I21" s="111">
        <v>0</v>
      </c>
      <c r="J21" s="117">
        <v>0</v>
      </c>
      <c r="K21" s="113">
        <f>F21+G21+H21+I21+J21</f>
        <v>4500000</v>
      </c>
    </row>
    <row r="22" spans="1:11" ht="15" customHeight="1" x14ac:dyDescent="0.25">
      <c r="A22" s="626"/>
      <c r="B22" s="629"/>
      <c r="C22" s="629"/>
      <c r="D22" s="632"/>
      <c r="E22" s="55" t="s">
        <v>141</v>
      </c>
      <c r="F22" s="119">
        <v>8199700</v>
      </c>
      <c r="G22" s="119">
        <v>1085973</v>
      </c>
      <c r="H22" s="119">
        <v>0</v>
      </c>
      <c r="I22" s="119">
        <v>0</v>
      </c>
      <c r="J22" s="115">
        <v>0</v>
      </c>
      <c r="K22" s="116">
        <f>F22+G22+H22+I22+J22</f>
        <v>9285673</v>
      </c>
    </row>
    <row r="23" spans="1:11" ht="15" customHeight="1" thickBot="1" x14ac:dyDescent="0.3">
      <c r="A23" s="627"/>
      <c r="B23" s="630"/>
      <c r="C23" s="630"/>
      <c r="D23" s="633"/>
      <c r="E23" s="405" t="s">
        <v>105</v>
      </c>
      <c r="F23" s="403">
        <f t="shared" ref="F23:K23" si="3">SUM(F21:F22)</f>
        <v>9164700</v>
      </c>
      <c r="G23" s="403">
        <f t="shared" si="3"/>
        <v>1317253</v>
      </c>
      <c r="H23" s="403">
        <f t="shared" si="3"/>
        <v>3303720</v>
      </c>
      <c r="I23" s="403">
        <f t="shared" si="3"/>
        <v>0</v>
      </c>
      <c r="J23" s="403">
        <f t="shared" si="3"/>
        <v>0</v>
      </c>
      <c r="K23" s="404">
        <f t="shared" si="3"/>
        <v>13785673</v>
      </c>
    </row>
    <row r="24" spans="1:11" ht="15" customHeight="1" x14ac:dyDescent="0.25">
      <c r="A24" s="625" t="s">
        <v>7</v>
      </c>
      <c r="B24" s="628" t="s">
        <v>179</v>
      </c>
      <c r="C24" s="628" t="s">
        <v>180</v>
      </c>
      <c r="D24" s="631">
        <v>0.95</v>
      </c>
      <c r="E24" s="90" t="s">
        <v>140</v>
      </c>
      <c r="F24" s="111">
        <v>1886720</v>
      </c>
      <c r="G24" s="111">
        <v>295932</v>
      </c>
      <c r="H24" s="111">
        <v>885920</v>
      </c>
      <c r="I24" s="111">
        <v>0</v>
      </c>
      <c r="J24" s="117">
        <v>0</v>
      </c>
      <c r="K24" s="113">
        <f>F24+G24+H24+I24+J24</f>
        <v>3068572</v>
      </c>
    </row>
    <row r="25" spans="1:11" ht="15" customHeight="1" x14ac:dyDescent="0.25">
      <c r="A25" s="626"/>
      <c r="B25" s="629"/>
      <c r="C25" s="629"/>
      <c r="D25" s="632"/>
      <c r="E25" s="55" t="s">
        <v>141</v>
      </c>
      <c r="F25" s="119">
        <v>2298000</v>
      </c>
      <c r="G25" s="119">
        <v>311228</v>
      </c>
      <c r="H25" s="119">
        <v>0</v>
      </c>
      <c r="I25" s="119">
        <v>0</v>
      </c>
      <c r="J25" s="115">
        <v>0</v>
      </c>
      <c r="K25" s="116">
        <f>F25+G25+H25+I25+J25</f>
        <v>2609228</v>
      </c>
    </row>
    <row r="26" spans="1:11" ht="15" customHeight="1" thickBot="1" x14ac:dyDescent="0.3">
      <c r="A26" s="627"/>
      <c r="B26" s="630"/>
      <c r="C26" s="630"/>
      <c r="D26" s="633"/>
      <c r="E26" s="405" t="s">
        <v>105</v>
      </c>
      <c r="F26" s="403">
        <f t="shared" ref="F26:K26" si="4">SUM(F24:F25)</f>
        <v>4184720</v>
      </c>
      <c r="G26" s="403">
        <f t="shared" si="4"/>
        <v>607160</v>
      </c>
      <c r="H26" s="403">
        <f t="shared" si="4"/>
        <v>885920</v>
      </c>
      <c r="I26" s="403">
        <f t="shared" si="4"/>
        <v>0</v>
      </c>
      <c r="J26" s="403">
        <f t="shared" si="4"/>
        <v>0</v>
      </c>
      <c r="K26" s="404">
        <f t="shared" si="4"/>
        <v>5677800</v>
      </c>
    </row>
    <row r="27" spans="1:11" s="281" customFormat="1" ht="15" customHeight="1" x14ac:dyDescent="0.25">
      <c r="A27" s="683" t="s">
        <v>27</v>
      </c>
      <c r="B27" s="657" t="s">
        <v>181</v>
      </c>
      <c r="C27" s="657" t="s">
        <v>182</v>
      </c>
      <c r="D27" s="632">
        <v>0.95</v>
      </c>
      <c r="E27" s="126" t="s">
        <v>140</v>
      </c>
      <c r="F27" s="120">
        <f>1500000-1000000+1276475</f>
        <v>1776475</v>
      </c>
      <c r="G27" s="120">
        <f>495600-330400+13437</f>
        <v>178637</v>
      </c>
      <c r="H27" s="120">
        <f>6048400-4235453-1592566</f>
        <v>220381</v>
      </c>
      <c r="I27" s="120">
        <v>0</v>
      </c>
      <c r="J27" s="285">
        <f>2000000+905000</f>
        <v>2905000</v>
      </c>
      <c r="K27" s="280">
        <f>F27+G27+H27+I27+J27</f>
        <v>5080493</v>
      </c>
    </row>
    <row r="28" spans="1:11" ht="15" customHeight="1" x14ac:dyDescent="0.25">
      <c r="A28" s="684"/>
      <c r="B28" s="657"/>
      <c r="C28" s="657"/>
      <c r="D28" s="632"/>
      <c r="E28" s="55" t="s">
        <v>141</v>
      </c>
      <c r="F28" s="119">
        <f>5751130+3724560+1200000</f>
        <v>10675690</v>
      </c>
      <c r="G28" s="119">
        <f>780061+641293</f>
        <v>1421354</v>
      </c>
      <c r="H28" s="119">
        <v>0</v>
      </c>
      <c r="I28" s="119">
        <v>0</v>
      </c>
      <c r="J28" s="115">
        <v>0</v>
      </c>
      <c r="K28" s="116">
        <f>F28+G28+H28+I28+J28</f>
        <v>12097044</v>
      </c>
    </row>
    <row r="29" spans="1:11" ht="15" customHeight="1" thickBot="1" x14ac:dyDescent="0.3">
      <c r="A29" s="685"/>
      <c r="B29" s="658"/>
      <c r="C29" s="658"/>
      <c r="D29" s="633"/>
      <c r="E29" s="405" t="s">
        <v>105</v>
      </c>
      <c r="F29" s="403">
        <f t="shared" ref="F29:K29" si="5">SUM(F27:F28)</f>
        <v>12452165</v>
      </c>
      <c r="G29" s="403">
        <f t="shared" si="5"/>
        <v>1599991</v>
      </c>
      <c r="H29" s="403">
        <f t="shared" si="5"/>
        <v>220381</v>
      </c>
      <c r="I29" s="403">
        <f t="shared" si="5"/>
        <v>0</v>
      </c>
      <c r="J29" s="403">
        <f t="shared" si="5"/>
        <v>2905000</v>
      </c>
      <c r="K29" s="404">
        <f t="shared" si="5"/>
        <v>17177537</v>
      </c>
    </row>
    <row r="30" spans="1:11" ht="15" customHeight="1" x14ac:dyDescent="0.25">
      <c r="A30" s="625" t="s">
        <v>81</v>
      </c>
      <c r="B30" s="629" t="s">
        <v>268</v>
      </c>
      <c r="C30" s="629" t="s">
        <v>269</v>
      </c>
      <c r="D30" s="632">
        <v>0.9395</v>
      </c>
      <c r="E30" s="55" t="s">
        <v>140</v>
      </c>
      <c r="F30" s="114">
        <v>0</v>
      </c>
      <c r="G30" s="114">
        <v>0</v>
      </c>
      <c r="H30" s="114">
        <f>167301+50378</f>
        <v>217679</v>
      </c>
      <c r="I30" s="114">
        <v>0</v>
      </c>
      <c r="J30" s="121">
        <v>0</v>
      </c>
      <c r="K30" s="116">
        <f>F30+G30+H30+I30+J30</f>
        <v>217679</v>
      </c>
    </row>
    <row r="31" spans="1:11" ht="15" customHeight="1" x14ac:dyDescent="0.25">
      <c r="A31" s="626"/>
      <c r="B31" s="629"/>
      <c r="C31" s="629"/>
      <c r="D31" s="632"/>
      <c r="E31" s="55" t="s">
        <v>141</v>
      </c>
      <c r="F31" s="119">
        <v>1620000</v>
      </c>
      <c r="G31" s="119">
        <v>210600</v>
      </c>
      <c r="H31" s="119">
        <v>0</v>
      </c>
      <c r="I31" s="119">
        <v>0</v>
      </c>
      <c r="J31" s="115">
        <v>0</v>
      </c>
      <c r="K31" s="116">
        <f>F31+G31+H31+I31+J31</f>
        <v>1830600</v>
      </c>
    </row>
    <row r="32" spans="1:11" ht="15" customHeight="1" thickBot="1" x14ac:dyDescent="0.3">
      <c r="A32" s="627"/>
      <c r="B32" s="630"/>
      <c r="C32" s="630"/>
      <c r="D32" s="633"/>
      <c r="E32" s="405" t="s">
        <v>105</v>
      </c>
      <c r="F32" s="403">
        <f t="shared" ref="F32:K32" si="6">SUM(F30:F31)</f>
        <v>1620000</v>
      </c>
      <c r="G32" s="403">
        <f t="shared" si="6"/>
        <v>210600</v>
      </c>
      <c r="H32" s="403">
        <f t="shared" si="6"/>
        <v>217679</v>
      </c>
      <c r="I32" s="403">
        <f t="shared" si="6"/>
        <v>0</v>
      </c>
      <c r="J32" s="403">
        <f t="shared" si="6"/>
        <v>0</v>
      </c>
      <c r="K32" s="404">
        <f t="shared" si="6"/>
        <v>2048279</v>
      </c>
    </row>
    <row r="33" spans="1:11" s="281" customFormat="1" ht="15" customHeight="1" x14ac:dyDescent="0.25">
      <c r="A33" s="683" t="s">
        <v>82</v>
      </c>
      <c r="B33" s="655" t="s">
        <v>270</v>
      </c>
      <c r="C33" s="657">
        <v>101035163</v>
      </c>
      <c r="D33" s="632">
        <v>0.60099999999999998</v>
      </c>
      <c r="E33" s="126" t="s">
        <v>140</v>
      </c>
      <c r="F33" s="120">
        <f>1500000+600000</f>
        <v>2100000</v>
      </c>
      <c r="G33" s="120">
        <v>500000</v>
      </c>
      <c r="H33" s="120">
        <f>5826469-500000-600000</f>
        <v>4726469</v>
      </c>
      <c r="I33" s="120">
        <v>0</v>
      </c>
      <c r="J33" s="285">
        <v>500000</v>
      </c>
      <c r="K33" s="280">
        <f>F33+G33+H33+I33+J33</f>
        <v>7826469</v>
      </c>
    </row>
    <row r="34" spans="1:11" s="281" customFormat="1" ht="15" customHeight="1" x14ac:dyDescent="0.25">
      <c r="A34" s="684"/>
      <c r="B34" s="655"/>
      <c r="C34" s="657"/>
      <c r="D34" s="632"/>
      <c r="E34" s="126" t="s">
        <v>141</v>
      </c>
      <c r="F34" s="122">
        <v>8722992</v>
      </c>
      <c r="G34" s="122">
        <f>1194535+35000</f>
        <v>1229535</v>
      </c>
      <c r="H34" s="122">
        <f>756737-35000</f>
        <v>721737</v>
      </c>
      <c r="I34" s="122">
        <v>0</v>
      </c>
      <c r="J34" s="284">
        <v>0</v>
      </c>
      <c r="K34" s="280">
        <f>F34+G34+H34+I34+J34</f>
        <v>10674264</v>
      </c>
    </row>
    <row r="35" spans="1:11" ht="15" customHeight="1" thickBot="1" x14ac:dyDescent="0.3">
      <c r="A35" s="685"/>
      <c r="B35" s="656"/>
      <c r="C35" s="658"/>
      <c r="D35" s="633"/>
      <c r="E35" s="405" t="s">
        <v>105</v>
      </c>
      <c r="F35" s="403">
        <f t="shared" ref="F35:K35" si="7">SUM(F33:F34)</f>
        <v>10822992</v>
      </c>
      <c r="G35" s="403">
        <f t="shared" si="7"/>
        <v>1729535</v>
      </c>
      <c r="H35" s="403">
        <f t="shared" si="7"/>
        <v>5448206</v>
      </c>
      <c r="I35" s="403">
        <f t="shared" si="7"/>
        <v>0</v>
      </c>
      <c r="J35" s="403">
        <f t="shared" si="7"/>
        <v>500000</v>
      </c>
      <c r="K35" s="404">
        <f t="shared" si="7"/>
        <v>18500733</v>
      </c>
    </row>
    <row r="36" spans="1:11" s="281" customFormat="1" ht="15" customHeight="1" x14ac:dyDescent="0.25">
      <c r="A36" s="683" t="s">
        <v>93</v>
      </c>
      <c r="B36" s="655" t="s">
        <v>322</v>
      </c>
      <c r="C36" s="659">
        <v>101074095</v>
      </c>
      <c r="D36" s="631">
        <v>0.9</v>
      </c>
      <c r="E36" s="126" t="s">
        <v>140</v>
      </c>
      <c r="F36" s="120">
        <v>600000</v>
      </c>
      <c r="G36" s="120">
        <v>250000</v>
      </c>
      <c r="H36" s="120">
        <f>2706047-2025000</f>
        <v>681047</v>
      </c>
      <c r="I36" s="120">
        <v>4242582</v>
      </c>
      <c r="J36" s="285">
        <v>0</v>
      </c>
      <c r="K36" s="280">
        <f>F36+G36+H36+I36+J36</f>
        <v>5773629</v>
      </c>
    </row>
    <row r="37" spans="1:11" s="281" customFormat="1" ht="15" customHeight="1" x14ac:dyDescent="0.25">
      <c r="A37" s="684"/>
      <c r="B37" s="655"/>
      <c r="C37" s="657"/>
      <c r="D37" s="632"/>
      <c r="E37" s="126" t="s">
        <v>141</v>
      </c>
      <c r="F37" s="122">
        <f>3396578+1700000</f>
        <v>5096578</v>
      </c>
      <c r="G37" s="122">
        <f>441555+275000</f>
        <v>716555</v>
      </c>
      <c r="H37" s="122">
        <v>50000</v>
      </c>
      <c r="I37" s="122">
        <v>0</v>
      </c>
      <c r="J37" s="284">
        <v>0</v>
      </c>
      <c r="K37" s="280">
        <f>F37+G37+H37+I37+J37</f>
        <v>5863133</v>
      </c>
    </row>
    <row r="38" spans="1:11" ht="15" customHeight="1" thickBot="1" x14ac:dyDescent="0.3">
      <c r="A38" s="685"/>
      <c r="B38" s="656"/>
      <c r="C38" s="658"/>
      <c r="D38" s="633"/>
      <c r="E38" s="405" t="s">
        <v>105</v>
      </c>
      <c r="F38" s="403">
        <f t="shared" ref="F38:K38" si="8">SUM(F36:F37)</f>
        <v>5696578</v>
      </c>
      <c r="G38" s="403">
        <f t="shared" si="8"/>
        <v>966555</v>
      </c>
      <c r="H38" s="403">
        <f t="shared" si="8"/>
        <v>731047</v>
      </c>
      <c r="I38" s="403">
        <f t="shared" si="8"/>
        <v>4242582</v>
      </c>
      <c r="J38" s="403">
        <f t="shared" si="8"/>
        <v>0</v>
      </c>
      <c r="K38" s="404">
        <f t="shared" si="8"/>
        <v>11636762</v>
      </c>
    </row>
    <row r="39" spans="1:11" ht="15" customHeight="1" x14ac:dyDescent="0.25">
      <c r="A39" s="683" t="s">
        <v>131</v>
      </c>
      <c r="B39" s="660" t="s">
        <v>111</v>
      </c>
      <c r="C39" s="686" t="s">
        <v>160</v>
      </c>
      <c r="D39" s="631">
        <v>1</v>
      </c>
      <c r="E39" s="90" t="s">
        <v>140</v>
      </c>
      <c r="F39" s="111">
        <f>350000+900000</f>
        <v>1250000</v>
      </c>
      <c r="G39" s="111">
        <v>54250</v>
      </c>
      <c r="H39" s="111">
        <f>2009285-900000</f>
        <v>1109285</v>
      </c>
      <c r="I39" s="111">
        <v>0</v>
      </c>
      <c r="J39" s="117">
        <v>0</v>
      </c>
      <c r="K39" s="113">
        <f>F39+G39+H39+I39+J39</f>
        <v>2413535</v>
      </c>
    </row>
    <row r="40" spans="1:11" ht="15" customHeight="1" x14ac:dyDescent="0.25">
      <c r="A40" s="684"/>
      <c r="B40" s="655"/>
      <c r="C40" s="687"/>
      <c r="D40" s="632"/>
      <c r="E40" s="55" t="s">
        <v>141</v>
      </c>
      <c r="F40" s="118">
        <f>3269957+26283186</f>
        <v>29553143</v>
      </c>
      <c r="G40" s="118">
        <f>452108+3416814</f>
        <v>3868922</v>
      </c>
      <c r="H40" s="118">
        <f>217102+4200000</f>
        <v>4417102</v>
      </c>
      <c r="I40" s="118">
        <v>0</v>
      </c>
      <c r="J40" s="115">
        <v>0</v>
      </c>
      <c r="K40" s="116">
        <f>F40+G40+H40+I40+J40</f>
        <v>37839167</v>
      </c>
    </row>
    <row r="41" spans="1:11" ht="15" customHeight="1" thickBot="1" x14ac:dyDescent="0.3">
      <c r="A41" s="685"/>
      <c r="B41" s="656"/>
      <c r="C41" s="688"/>
      <c r="D41" s="633"/>
      <c r="E41" s="405" t="s">
        <v>105</v>
      </c>
      <c r="F41" s="403">
        <f t="shared" ref="F41:K41" si="9">SUM(F39:F40)</f>
        <v>30803143</v>
      </c>
      <c r="G41" s="403">
        <f t="shared" si="9"/>
        <v>3923172</v>
      </c>
      <c r="H41" s="403">
        <f t="shared" si="9"/>
        <v>5526387</v>
      </c>
      <c r="I41" s="403">
        <f t="shared" si="9"/>
        <v>0</v>
      </c>
      <c r="J41" s="403">
        <f t="shared" si="9"/>
        <v>0</v>
      </c>
      <c r="K41" s="404">
        <f t="shared" si="9"/>
        <v>40252702</v>
      </c>
    </row>
    <row r="42" spans="1:11" ht="15" customHeight="1" x14ac:dyDescent="0.25">
      <c r="A42" s="683" t="s">
        <v>132</v>
      </c>
      <c r="B42" s="660" t="s">
        <v>149</v>
      </c>
      <c r="C42" s="689" t="s">
        <v>161</v>
      </c>
      <c r="D42" s="631">
        <v>1</v>
      </c>
      <c r="E42" s="90" t="s">
        <v>140</v>
      </c>
      <c r="F42" s="111">
        <v>67838</v>
      </c>
      <c r="G42" s="111">
        <v>31388</v>
      </c>
      <c r="H42" s="111">
        <f>48497057-3086996-10000000-3280000</f>
        <v>32130061</v>
      </c>
      <c r="I42" s="111">
        <v>10000000</v>
      </c>
      <c r="J42" s="117">
        <v>121936754</v>
      </c>
      <c r="K42" s="113">
        <f>F42+G42+H42+I42+J42</f>
        <v>164166041</v>
      </c>
    </row>
    <row r="43" spans="1:11" ht="15" customHeight="1" x14ac:dyDescent="0.25">
      <c r="A43" s="684"/>
      <c r="B43" s="655"/>
      <c r="C43" s="690"/>
      <c r="D43" s="632"/>
      <c r="E43" s="55" t="s">
        <v>141</v>
      </c>
      <c r="F43" s="118">
        <f>2708625+2900000</f>
        <v>5608625</v>
      </c>
      <c r="G43" s="118">
        <f>378371+380000</f>
        <v>758371</v>
      </c>
      <c r="H43" s="118">
        <v>0</v>
      </c>
      <c r="I43" s="118">
        <v>0</v>
      </c>
      <c r="J43" s="115">
        <v>0</v>
      </c>
      <c r="K43" s="116">
        <f>F43+G43+H43+I43+J43</f>
        <v>6366996</v>
      </c>
    </row>
    <row r="44" spans="1:11" ht="15" customHeight="1" thickBot="1" x14ac:dyDescent="0.3">
      <c r="A44" s="685"/>
      <c r="B44" s="656"/>
      <c r="C44" s="691"/>
      <c r="D44" s="633"/>
      <c r="E44" s="405" t="s">
        <v>105</v>
      </c>
      <c r="F44" s="403">
        <f t="shared" ref="F44:K44" si="10">SUM(F42:F43)</f>
        <v>5676463</v>
      </c>
      <c r="G44" s="403">
        <f t="shared" si="10"/>
        <v>789759</v>
      </c>
      <c r="H44" s="403">
        <f t="shared" si="10"/>
        <v>32130061</v>
      </c>
      <c r="I44" s="403">
        <f t="shared" si="10"/>
        <v>10000000</v>
      </c>
      <c r="J44" s="403">
        <f t="shared" si="10"/>
        <v>121936754</v>
      </c>
      <c r="K44" s="404">
        <f t="shared" si="10"/>
        <v>170533037</v>
      </c>
    </row>
    <row r="45" spans="1:11" ht="15" customHeight="1" x14ac:dyDescent="0.25">
      <c r="A45" s="683" t="s">
        <v>136</v>
      </c>
      <c r="B45" s="660" t="s">
        <v>183</v>
      </c>
      <c r="C45" s="686" t="s">
        <v>184</v>
      </c>
      <c r="D45" s="631">
        <v>1</v>
      </c>
      <c r="E45" s="90" t="s">
        <v>140</v>
      </c>
      <c r="F45" s="111">
        <f>14524654+10000000</f>
        <v>24524654</v>
      </c>
      <c r="G45" s="111">
        <v>1838737</v>
      </c>
      <c r="H45" s="111">
        <f>513247555-27793045-10000000</f>
        <v>475454510</v>
      </c>
      <c r="I45" s="111">
        <v>0</v>
      </c>
      <c r="J45" s="117">
        <v>93683528</v>
      </c>
      <c r="K45" s="113">
        <f>F45+G45+H45+I45+J45</f>
        <v>595501429</v>
      </c>
    </row>
    <row r="46" spans="1:11" ht="15" customHeight="1" x14ac:dyDescent="0.25">
      <c r="A46" s="684"/>
      <c r="B46" s="655"/>
      <c r="C46" s="687"/>
      <c r="D46" s="632"/>
      <c r="E46" s="55" t="s">
        <v>141</v>
      </c>
      <c r="F46" s="118">
        <f>42880563+24457056</f>
        <v>67337619</v>
      </c>
      <c r="G46" s="118">
        <f>7262349+3335989</f>
        <v>10598338</v>
      </c>
      <c r="H46" s="118">
        <v>1500000</v>
      </c>
      <c r="I46" s="118">
        <v>0</v>
      </c>
      <c r="J46" s="115"/>
      <c r="K46" s="116">
        <f>F46+G46+H46+I46+J46</f>
        <v>79435957</v>
      </c>
    </row>
    <row r="47" spans="1:11" ht="15" customHeight="1" thickBot="1" x14ac:dyDescent="0.3">
      <c r="A47" s="685"/>
      <c r="B47" s="656"/>
      <c r="C47" s="688"/>
      <c r="D47" s="633"/>
      <c r="E47" s="405" t="s">
        <v>105</v>
      </c>
      <c r="F47" s="403">
        <f t="shared" ref="F47:K47" si="11">SUM(F45:F46)</f>
        <v>91862273</v>
      </c>
      <c r="G47" s="403">
        <f t="shared" si="11"/>
        <v>12437075</v>
      </c>
      <c r="H47" s="403">
        <f t="shared" si="11"/>
        <v>476954510</v>
      </c>
      <c r="I47" s="403">
        <f t="shared" si="11"/>
        <v>0</v>
      </c>
      <c r="J47" s="403">
        <f t="shared" si="11"/>
        <v>93683528</v>
      </c>
      <c r="K47" s="404">
        <f t="shared" si="11"/>
        <v>674937386</v>
      </c>
    </row>
    <row r="48" spans="1:11" ht="15" customHeight="1" x14ac:dyDescent="0.25">
      <c r="A48" s="683" t="s">
        <v>154</v>
      </c>
      <c r="B48" s="660" t="s">
        <v>271</v>
      </c>
      <c r="C48" s="686" t="s">
        <v>272</v>
      </c>
      <c r="D48" s="631">
        <v>1</v>
      </c>
      <c r="E48" s="90" t="s">
        <v>140</v>
      </c>
      <c r="F48" s="111">
        <v>80000</v>
      </c>
      <c r="G48" s="111">
        <v>0</v>
      </c>
      <c r="H48" s="111">
        <f>2866834-80000</f>
        <v>2786834</v>
      </c>
      <c r="I48" s="111">
        <v>0</v>
      </c>
      <c r="J48" s="117">
        <f>41910000+6232150</f>
        <v>48142150</v>
      </c>
      <c r="K48" s="113">
        <f>F48+G48+H48+I48+J48</f>
        <v>51008984</v>
      </c>
    </row>
    <row r="49" spans="1:11" ht="15" customHeight="1" x14ac:dyDescent="0.25">
      <c r="A49" s="684"/>
      <c r="B49" s="655"/>
      <c r="C49" s="687"/>
      <c r="D49" s="632"/>
      <c r="E49" s="55" t="s">
        <v>141</v>
      </c>
      <c r="F49" s="118">
        <f>2919414-153000</f>
        <v>2766414</v>
      </c>
      <c r="G49" s="118">
        <v>423524</v>
      </c>
      <c r="H49" s="118">
        <v>153000</v>
      </c>
      <c r="I49" s="118">
        <v>0</v>
      </c>
      <c r="J49" s="115">
        <v>0</v>
      </c>
      <c r="K49" s="116">
        <f>F49+G49+H49+I49+J49</f>
        <v>3342938</v>
      </c>
    </row>
    <row r="50" spans="1:11" ht="15" customHeight="1" thickBot="1" x14ac:dyDescent="0.3">
      <c r="A50" s="685"/>
      <c r="B50" s="656"/>
      <c r="C50" s="688"/>
      <c r="D50" s="633"/>
      <c r="E50" s="405" t="s">
        <v>105</v>
      </c>
      <c r="F50" s="403">
        <f t="shared" ref="F50:K50" si="12">SUM(F48:F49)</f>
        <v>2846414</v>
      </c>
      <c r="G50" s="403">
        <f t="shared" si="12"/>
        <v>423524</v>
      </c>
      <c r="H50" s="403">
        <f t="shared" si="12"/>
        <v>2939834</v>
      </c>
      <c r="I50" s="403">
        <f t="shared" si="12"/>
        <v>0</v>
      </c>
      <c r="J50" s="403">
        <f t="shared" si="12"/>
        <v>48142150</v>
      </c>
      <c r="K50" s="404">
        <f t="shared" si="12"/>
        <v>54351922</v>
      </c>
    </row>
    <row r="51" spans="1:11" ht="15" customHeight="1" x14ac:dyDescent="0.25">
      <c r="A51" s="683" t="s">
        <v>162</v>
      </c>
      <c r="B51" s="660" t="s">
        <v>323</v>
      </c>
      <c r="C51" s="661" t="s">
        <v>324</v>
      </c>
      <c r="D51" s="631">
        <v>1</v>
      </c>
      <c r="E51" s="90" t="s">
        <v>140</v>
      </c>
      <c r="F51" s="111">
        <v>2000000</v>
      </c>
      <c r="G51" s="111">
        <v>500000</v>
      </c>
      <c r="H51" s="111">
        <f>64302352-2500000</f>
        <v>61802352</v>
      </c>
      <c r="I51" s="111">
        <v>0</v>
      </c>
      <c r="J51" s="117">
        <v>27483222</v>
      </c>
      <c r="K51" s="113">
        <f>F51+G51+H51+I51+J51</f>
        <v>91785574</v>
      </c>
    </row>
    <row r="52" spans="1:11" ht="15" customHeight="1" x14ac:dyDescent="0.25">
      <c r="A52" s="684"/>
      <c r="B52" s="655"/>
      <c r="C52" s="662"/>
      <c r="D52" s="632"/>
      <c r="E52" s="55" t="s">
        <v>141</v>
      </c>
      <c r="F52" s="118">
        <v>36561000</v>
      </c>
      <c r="G52" s="118">
        <v>5067930</v>
      </c>
      <c r="H52" s="118">
        <v>900000</v>
      </c>
      <c r="I52" s="118">
        <v>0</v>
      </c>
      <c r="J52" s="115">
        <v>0</v>
      </c>
      <c r="K52" s="116">
        <f>F52+G52+H52+I52+J52</f>
        <v>42528930</v>
      </c>
    </row>
    <row r="53" spans="1:11" ht="15" customHeight="1" thickBot="1" x14ac:dyDescent="0.3">
      <c r="A53" s="685"/>
      <c r="B53" s="656"/>
      <c r="C53" s="663"/>
      <c r="D53" s="633"/>
      <c r="E53" s="405" t="s">
        <v>105</v>
      </c>
      <c r="F53" s="403">
        <f t="shared" ref="F53:K53" si="13">SUM(F51:F52)</f>
        <v>38561000</v>
      </c>
      <c r="G53" s="403">
        <f t="shared" si="13"/>
        <v>5567930</v>
      </c>
      <c r="H53" s="403">
        <f t="shared" si="13"/>
        <v>62702352</v>
      </c>
      <c r="I53" s="403">
        <f t="shared" si="13"/>
        <v>0</v>
      </c>
      <c r="J53" s="403">
        <f t="shared" si="13"/>
        <v>27483222</v>
      </c>
      <c r="K53" s="404">
        <f t="shared" si="13"/>
        <v>134314504</v>
      </c>
    </row>
    <row r="54" spans="1:11" ht="15" customHeight="1" x14ac:dyDescent="0.25">
      <c r="A54" s="683" t="s">
        <v>165</v>
      </c>
      <c r="B54" s="660" t="s">
        <v>325</v>
      </c>
      <c r="C54" s="661" t="s">
        <v>326</v>
      </c>
      <c r="D54" s="631">
        <v>1</v>
      </c>
      <c r="E54" s="90" t="s">
        <v>140</v>
      </c>
      <c r="F54" s="111">
        <v>8000000</v>
      </c>
      <c r="G54" s="111">
        <v>2000000</v>
      </c>
      <c r="H54" s="111">
        <f>58346078-10000000</f>
        <v>48346078</v>
      </c>
      <c r="I54" s="111">
        <v>8441059</v>
      </c>
      <c r="J54" s="117">
        <v>10000000</v>
      </c>
      <c r="K54" s="113">
        <f>F54+G54+H54+I54+J54</f>
        <v>76787137</v>
      </c>
    </row>
    <row r="55" spans="1:11" ht="15" customHeight="1" x14ac:dyDescent="0.25">
      <c r="A55" s="684"/>
      <c r="B55" s="655"/>
      <c r="C55" s="662"/>
      <c r="D55" s="632"/>
      <c r="E55" s="55" t="s">
        <v>141</v>
      </c>
      <c r="F55" s="118">
        <v>19255408</v>
      </c>
      <c r="G55" s="118">
        <v>2668201</v>
      </c>
      <c r="H55" s="118">
        <v>1289254</v>
      </c>
      <c r="I55" s="118">
        <v>0</v>
      </c>
      <c r="J55" s="115">
        <v>0</v>
      </c>
      <c r="K55" s="116">
        <f>F55+G55+H55+I55+J55</f>
        <v>23212863</v>
      </c>
    </row>
    <row r="56" spans="1:11" ht="15" customHeight="1" thickBot="1" x14ac:dyDescent="0.3">
      <c r="A56" s="685"/>
      <c r="B56" s="656"/>
      <c r="C56" s="663"/>
      <c r="D56" s="633"/>
      <c r="E56" s="405" t="s">
        <v>105</v>
      </c>
      <c r="F56" s="403">
        <f t="shared" ref="F56:K56" si="14">SUM(F54:F55)</f>
        <v>27255408</v>
      </c>
      <c r="G56" s="403">
        <f t="shared" si="14"/>
        <v>4668201</v>
      </c>
      <c r="H56" s="403">
        <f t="shared" si="14"/>
        <v>49635332</v>
      </c>
      <c r="I56" s="403">
        <f t="shared" si="14"/>
        <v>8441059</v>
      </c>
      <c r="J56" s="403">
        <f t="shared" si="14"/>
        <v>10000000</v>
      </c>
      <c r="K56" s="404">
        <f t="shared" si="14"/>
        <v>100000000</v>
      </c>
    </row>
    <row r="57" spans="1:11" ht="15" customHeight="1" x14ac:dyDescent="0.25">
      <c r="A57" s="625" t="s">
        <v>166</v>
      </c>
      <c r="B57" s="648" t="s">
        <v>163</v>
      </c>
      <c r="C57" s="649" t="s">
        <v>164</v>
      </c>
      <c r="D57" s="631">
        <v>1</v>
      </c>
      <c r="E57" s="90" t="s">
        <v>140</v>
      </c>
      <c r="F57" s="111">
        <v>0</v>
      </c>
      <c r="G57" s="111">
        <v>0</v>
      </c>
      <c r="H57" s="111">
        <v>0</v>
      </c>
      <c r="I57" s="111">
        <v>0</v>
      </c>
      <c r="J57" s="117">
        <v>0</v>
      </c>
      <c r="K57" s="113">
        <f>F57+G57+H57+I57+J57</f>
        <v>0</v>
      </c>
    </row>
    <row r="58" spans="1:11" ht="15" customHeight="1" x14ac:dyDescent="0.25">
      <c r="A58" s="626"/>
      <c r="B58" s="646"/>
      <c r="C58" s="650"/>
      <c r="D58" s="632"/>
      <c r="E58" s="55" t="s">
        <v>141</v>
      </c>
      <c r="F58" s="118">
        <f>26512+79116</f>
        <v>105628</v>
      </c>
      <c r="G58" s="118">
        <f>4109+12263</f>
        <v>16372</v>
      </c>
      <c r="H58" s="118">
        <v>0</v>
      </c>
      <c r="I58" s="118">
        <v>0</v>
      </c>
      <c r="J58" s="115">
        <v>0</v>
      </c>
      <c r="K58" s="116">
        <f>F58+G58+H58+I58+J58</f>
        <v>122000</v>
      </c>
    </row>
    <row r="59" spans="1:11" ht="15" customHeight="1" thickBot="1" x14ac:dyDescent="0.3">
      <c r="A59" s="627"/>
      <c r="B59" s="647"/>
      <c r="C59" s="651"/>
      <c r="D59" s="633"/>
      <c r="E59" s="405" t="s">
        <v>105</v>
      </c>
      <c r="F59" s="403">
        <f t="shared" ref="F59:K59" si="15">SUM(F57:F58)</f>
        <v>105628</v>
      </c>
      <c r="G59" s="403">
        <f t="shared" si="15"/>
        <v>16372</v>
      </c>
      <c r="H59" s="403">
        <f t="shared" si="15"/>
        <v>0</v>
      </c>
      <c r="I59" s="403">
        <f t="shared" si="15"/>
        <v>0</v>
      </c>
      <c r="J59" s="403">
        <f t="shared" si="15"/>
        <v>0</v>
      </c>
      <c r="K59" s="404">
        <f t="shared" si="15"/>
        <v>122000</v>
      </c>
    </row>
    <row r="60" spans="1:11" ht="15" customHeight="1" x14ac:dyDescent="0.25">
      <c r="A60" s="625" t="s">
        <v>169</v>
      </c>
      <c r="B60" s="648" t="s">
        <v>167</v>
      </c>
      <c r="C60" s="649" t="s">
        <v>168</v>
      </c>
      <c r="D60" s="631">
        <v>1</v>
      </c>
      <c r="E60" s="90" t="s">
        <v>140</v>
      </c>
      <c r="F60" s="111">
        <v>0</v>
      </c>
      <c r="G60" s="111">
        <v>0</v>
      </c>
      <c r="H60" s="111">
        <v>0</v>
      </c>
      <c r="I60" s="111">
        <v>0</v>
      </c>
      <c r="J60" s="117">
        <v>0</v>
      </c>
      <c r="K60" s="113">
        <f>F60+G60+H60+I60+J60</f>
        <v>0</v>
      </c>
    </row>
    <row r="61" spans="1:11" ht="15" customHeight="1" x14ac:dyDescent="0.25">
      <c r="A61" s="626"/>
      <c r="B61" s="646"/>
      <c r="C61" s="650"/>
      <c r="D61" s="632"/>
      <c r="E61" s="55" t="s">
        <v>141</v>
      </c>
      <c r="F61" s="118">
        <f>107965-81453</f>
        <v>26512</v>
      </c>
      <c r="G61" s="118">
        <f>14035-9926</f>
        <v>4109</v>
      </c>
      <c r="H61" s="118">
        <v>0</v>
      </c>
      <c r="I61" s="118">
        <v>0</v>
      </c>
      <c r="J61" s="115">
        <v>0</v>
      </c>
      <c r="K61" s="116">
        <f>F61+G61+H61+I61+J61</f>
        <v>30621</v>
      </c>
    </row>
    <row r="62" spans="1:11" ht="15" customHeight="1" thickBot="1" x14ac:dyDescent="0.3">
      <c r="A62" s="627"/>
      <c r="B62" s="647"/>
      <c r="C62" s="651"/>
      <c r="D62" s="633"/>
      <c r="E62" s="405" t="s">
        <v>105</v>
      </c>
      <c r="F62" s="403">
        <f t="shared" ref="F62:K62" si="16">SUM(F60:F61)</f>
        <v>26512</v>
      </c>
      <c r="G62" s="403">
        <f t="shared" si="16"/>
        <v>4109</v>
      </c>
      <c r="H62" s="403">
        <f t="shared" si="16"/>
        <v>0</v>
      </c>
      <c r="I62" s="403">
        <f t="shared" si="16"/>
        <v>0</v>
      </c>
      <c r="J62" s="403">
        <f t="shared" si="16"/>
        <v>0</v>
      </c>
      <c r="K62" s="404">
        <f t="shared" si="16"/>
        <v>30621</v>
      </c>
    </row>
    <row r="63" spans="1:11" ht="15" customHeight="1" x14ac:dyDescent="0.25">
      <c r="A63" s="625" t="s">
        <v>170</v>
      </c>
      <c r="B63" s="648" t="s">
        <v>189</v>
      </c>
      <c r="C63" s="652" t="s">
        <v>190</v>
      </c>
      <c r="D63" s="631">
        <v>1</v>
      </c>
      <c r="E63" s="90" t="s">
        <v>140</v>
      </c>
      <c r="F63" s="111">
        <f>787402+4394238</f>
        <v>5181640</v>
      </c>
      <c r="G63" s="111">
        <v>0</v>
      </c>
      <c r="H63" s="111">
        <f>6094598-4344238</f>
        <v>1750360</v>
      </c>
      <c r="I63" s="111">
        <f>50000-50000</f>
        <v>0</v>
      </c>
      <c r="J63" s="117">
        <v>0</v>
      </c>
      <c r="K63" s="113">
        <f>F63+G63+H63+I63+J63</f>
        <v>6932000</v>
      </c>
    </row>
    <row r="64" spans="1:11" ht="15" customHeight="1" x14ac:dyDescent="0.25">
      <c r="A64" s="626"/>
      <c r="B64" s="646"/>
      <c r="C64" s="653"/>
      <c r="D64" s="632"/>
      <c r="E64" s="55" t="s">
        <v>141</v>
      </c>
      <c r="F64" s="118">
        <v>501702</v>
      </c>
      <c r="G64" s="118">
        <v>65221</v>
      </c>
      <c r="H64" s="118">
        <v>0</v>
      </c>
      <c r="I64" s="118">
        <v>0</v>
      </c>
      <c r="J64" s="115">
        <v>0</v>
      </c>
      <c r="K64" s="116">
        <f>F64+G64+H64+I64+J64</f>
        <v>566923</v>
      </c>
    </row>
    <row r="65" spans="1:11" ht="15" customHeight="1" thickBot="1" x14ac:dyDescent="0.3">
      <c r="A65" s="627"/>
      <c r="B65" s="646"/>
      <c r="C65" s="653"/>
      <c r="D65" s="632"/>
      <c r="E65" s="406" t="s">
        <v>105</v>
      </c>
      <c r="F65" s="407">
        <f t="shared" ref="F65:K65" si="17">SUM(F63:F64)</f>
        <v>5683342</v>
      </c>
      <c r="G65" s="407">
        <f t="shared" si="17"/>
        <v>65221</v>
      </c>
      <c r="H65" s="407">
        <f t="shared" si="17"/>
        <v>1750360</v>
      </c>
      <c r="I65" s="407">
        <f t="shared" si="17"/>
        <v>0</v>
      </c>
      <c r="J65" s="407">
        <f t="shared" si="17"/>
        <v>0</v>
      </c>
      <c r="K65" s="408">
        <f t="shared" si="17"/>
        <v>7498923</v>
      </c>
    </row>
    <row r="66" spans="1:11" ht="15" customHeight="1" x14ac:dyDescent="0.25">
      <c r="A66" s="625" t="s">
        <v>185</v>
      </c>
      <c r="B66" s="648" t="s">
        <v>192</v>
      </c>
      <c r="C66" s="652" t="s">
        <v>193</v>
      </c>
      <c r="D66" s="631">
        <v>1</v>
      </c>
      <c r="E66" s="90" t="s">
        <v>140</v>
      </c>
      <c r="F66" s="111">
        <f>787402+10786404</f>
        <v>11573806</v>
      </c>
      <c r="G66" s="111">
        <v>0</v>
      </c>
      <c r="H66" s="111">
        <f>14340598-10786404</f>
        <v>3554194</v>
      </c>
      <c r="I66" s="111">
        <v>0</v>
      </c>
      <c r="J66" s="117">
        <v>0</v>
      </c>
      <c r="K66" s="113">
        <f>F66+G66+H66+I66+J66</f>
        <v>15128000</v>
      </c>
    </row>
    <row r="67" spans="1:11" ht="15" customHeight="1" x14ac:dyDescent="0.25">
      <c r="A67" s="626"/>
      <c r="B67" s="646"/>
      <c r="C67" s="653"/>
      <c r="D67" s="632"/>
      <c r="E67" s="55" t="s">
        <v>141</v>
      </c>
      <c r="F67" s="118">
        <v>659537</v>
      </c>
      <c r="G67" s="118">
        <v>85740</v>
      </c>
      <c r="H67" s="118">
        <v>0</v>
      </c>
      <c r="I67" s="118">
        <v>0</v>
      </c>
      <c r="J67" s="115">
        <v>0</v>
      </c>
      <c r="K67" s="116">
        <f>F67+G67+H67+I67+J67</f>
        <v>745277</v>
      </c>
    </row>
    <row r="68" spans="1:11" ht="15" customHeight="1" thickBot="1" x14ac:dyDescent="0.3">
      <c r="A68" s="627"/>
      <c r="B68" s="647"/>
      <c r="C68" s="654"/>
      <c r="D68" s="633"/>
      <c r="E68" s="405" t="s">
        <v>105</v>
      </c>
      <c r="F68" s="403">
        <f t="shared" ref="F68:K68" si="18">SUM(F66:F67)</f>
        <v>12233343</v>
      </c>
      <c r="G68" s="403">
        <f t="shared" si="18"/>
        <v>85740</v>
      </c>
      <c r="H68" s="403">
        <f t="shared" si="18"/>
        <v>3554194</v>
      </c>
      <c r="I68" s="403">
        <f t="shared" si="18"/>
        <v>0</v>
      </c>
      <c r="J68" s="403">
        <f t="shared" si="18"/>
        <v>0</v>
      </c>
      <c r="K68" s="404">
        <f t="shared" si="18"/>
        <v>15873277</v>
      </c>
    </row>
    <row r="69" spans="1:11" ht="15" customHeight="1" x14ac:dyDescent="0.25">
      <c r="A69" s="625" t="s">
        <v>186</v>
      </c>
      <c r="B69" s="648" t="s">
        <v>195</v>
      </c>
      <c r="C69" s="652" t="s">
        <v>196</v>
      </c>
      <c r="D69" s="631">
        <v>1</v>
      </c>
      <c r="E69" s="90" t="s">
        <v>140</v>
      </c>
      <c r="F69" s="111">
        <f>787402+12162583</f>
        <v>12949985</v>
      </c>
      <c r="G69" s="111">
        <v>0</v>
      </c>
      <c r="H69" s="111">
        <f>15313998-12162583</f>
        <v>3151415</v>
      </c>
      <c r="I69" s="111">
        <v>10500000</v>
      </c>
      <c r="J69" s="117">
        <v>0</v>
      </c>
      <c r="K69" s="113">
        <f>F69+G69+H69+I69+J69</f>
        <v>26601400</v>
      </c>
    </row>
    <row r="70" spans="1:11" ht="15" customHeight="1" x14ac:dyDescent="0.25">
      <c r="A70" s="626"/>
      <c r="B70" s="646"/>
      <c r="C70" s="653"/>
      <c r="D70" s="632"/>
      <c r="E70" s="55" t="s">
        <v>141</v>
      </c>
      <c r="F70" s="118">
        <v>2977335</v>
      </c>
      <c r="G70" s="118">
        <v>387054</v>
      </c>
      <c r="H70" s="118">
        <v>0</v>
      </c>
      <c r="I70" s="118">
        <v>0</v>
      </c>
      <c r="J70" s="115">
        <v>0</v>
      </c>
      <c r="K70" s="116">
        <f>F70+G70+H70+I70+J70</f>
        <v>3364389</v>
      </c>
    </row>
    <row r="71" spans="1:11" ht="15" customHeight="1" thickBot="1" x14ac:dyDescent="0.3">
      <c r="A71" s="627"/>
      <c r="B71" s="647"/>
      <c r="C71" s="654"/>
      <c r="D71" s="633"/>
      <c r="E71" s="405" t="s">
        <v>105</v>
      </c>
      <c r="F71" s="403">
        <f t="shared" ref="F71:K71" si="19">SUM(F69:F70)</f>
        <v>15927320</v>
      </c>
      <c r="G71" s="403">
        <f t="shared" si="19"/>
        <v>387054</v>
      </c>
      <c r="H71" s="403">
        <f t="shared" si="19"/>
        <v>3151415</v>
      </c>
      <c r="I71" s="403">
        <f t="shared" si="19"/>
        <v>10500000</v>
      </c>
      <c r="J71" s="403">
        <f t="shared" si="19"/>
        <v>0</v>
      </c>
      <c r="K71" s="404">
        <f t="shared" si="19"/>
        <v>29965789</v>
      </c>
    </row>
    <row r="72" spans="1:11" ht="15" customHeight="1" x14ac:dyDescent="0.25">
      <c r="A72" s="625" t="s">
        <v>187</v>
      </c>
      <c r="B72" s="648" t="s">
        <v>198</v>
      </c>
      <c r="C72" s="652" t="s">
        <v>199</v>
      </c>
      <c r="D72" s="631">
        <v>1</v>
      </c>
      <c r="E72" s="90" t="s">
        <v>140</v>
      </c>
      <c r="F72" s="111">
        <f>787402+12854263</f>
        <v>13641665</v>
      </c>
      <c r="G72" s="111">
        <v>0</v>
      </c>
      <c r="H72" s="111">
        <f>15313998-12354263+51267</f>
        <v>3011002</v>
      </c>
      <c r="I72" s="111">
        <f>10500000-500000</f>
        <v>10000000</v>
      </c>
      <c r="J72" s="117">
        <v>0</v>
      </c>
      <c r="K72" s="113">
        <f>F72+G72+H72+I72+J72</f>
        <v>26652667</v>
      </c>
    </row>
    <row r="73" spans="1:11" ht="15" customHeight="1" x14ac:dyDescent="0.25">
      <c r="A73" s="626"/>
      <c r="B73" s="646"/>
      <c r="C73" s="653"/>
      <c r="D73" s="632"/>
      <c r="E73" s="55" t="s">
        <v>141</v>
      </c>
      <c r="F73" s="118">
        <f>2756372-51267</f>
        <v>2705105</v>
      </c>
      <c r="G73" s="118">
        <v>358328</v>
      </c>
      <c r="H73" s="118">
        <v>0</v>
      </c>
      <c r="I73" s="118">
        <v>0</v>
      </c>
      <c r="J73" s="115">
        <v>0</v>
      </c>
      <c r="K73" s="116">
        <f>F73+G73+H73+I73+J73</f>
        <v>3063433</v>
      </c>
    </row>
    <row r="74" spans="1:11" ht="15" customHeight="1" thickBot="1" x14ac:dyDescent="0.3">
      <c r="A74" s="627"/>
      <c r="B74" s="647"/>
      <c r="C74" s="654"/>
      <c r="D74" s="633"/>
      <c r="E74" s="405" t="s">
        <v>105</v>
      </c>
      <c r="F74" s="403">
        <f t="shared" ref="F74:K74" si="20">SUM(F72:F73)</f>
        <v>16346770</v>
      </c>
      <c r="G74" s="403">
        <f t="shared" si="20"/>
        <v>358328</v>
      </c>
      <c r="H74" s="403">
        <f t="shared" si="20"/>
        <v>3011002</v>
      </c>
      <c r="I74" s="403">
        <f t="shared" si="20"/>
        <v>10000000</v>
      </c>
      <c r="J74" s="403">
        <f t="shared" si="20"/>
        <v>0</v>
      </c>
      <c r="K74" s="404">
        <f t="shared" si="20"/>
        <v>29716100</v>
      </c>
    </row>
    <row r="75" spans="1:11" ht="15" customHeight="1" x14ac:dyDescent="0.25">
      <c r="A75" s="625" t="s">
        <v>188</v>
      </c>
      <c r="B75" s="646" t="s">
        <v>201</v>
      </c>
      <c r="C75" s="653" t="s">
        <v>202</v>
      </c>
      <c r="D75" s="632">
        <v>1</v>
      </c>
      <c r="E75" s="55" t="s">
        <v>140</v>
      </c>
      <c r="F75" s="111">
        <f>787402+6357852</f>
        <v>7145254</v>
      </c>
      <c r="G75" s="111">
        <v>0</v>
      </c>
      <c r="H75" s="111">
        <f>7650598-847500-4557852</f>
        <v>2245246</v>
      </c>
      <c r="I75" s="111">
        <f>4000000+847500-1800000</f>
        <v>3047500</v>
      </c>
      <c r="J75" s="117">
        <v>0</v>
      </c>
      <c r="K75" s="116">
        <f>F75+G75+H75+I75+J75</f>
        <v>12438000</v>
      </c>
    </row>
    <row r="76" spans="1:11" ht="15" customHeight="1" x14ac:dyDescent="0.25">
      <c r="A76" s="626"/>
      <c r="B76" s="646"/>
      <c r="C76" s="653"/>
      <c r="D76" s="632"/>
      <c r="E76" s="55" t="s">
        <v>141</v>
      </c>
      <c r="F76" s="118">
        <v>2066286</v>
      </c>
      <c r="G76" s="118">
        <v>268617</v>
      </c>
      <c r="H76" s="118">
        <v>0</v>
      </c>
      <c r="I76" s="118">
        <v>0</v>
      </c>
      <c r="J76" s="115">
        <v>0</v>
      </c>
      <c r="K76" s="116">
        <f>F76+G76+H76+I76+J76</f>
        <v>2334903</v>
      </c>
    </row>
    <row r="77" spans="1:11" ht="15" customHeight="1" thickBot="1" x14ac:dyDescent="0.3">
      <c r="A77" s="627"/>
      <c r="B77" s="646"/>
      <c r="C77" s="653"/>
      <c r="D77" s="632"/>
      <c r="E77" s="406" t="s">
        <v>105</v>
      </c>
      <c r="F77" s="407">
        <f t="shared" ref="F77:K77" si="21">SUM(F75:F76)</f>
        <v>9211540</v>
      </c>
      <c r="G77" s="407">
        <f t="shared" si="21"/>
        <v>268617</v>
      </c>
      <c r="H77" s="407">
        <f t="shared" si="21"/>
        <v>2245246</v>
      </c>
      <c r="I77" s="407">
        <f t="shared" si="21"/>
        <v>3047500</v>
      </c>
      <c r="J77" s="407">
        <f t="shared" si="21"/>
        <v>0</v>
      </c>
      <c r="K77" s="408">
        <f t="shared" si="21"/>
        <v>14772903</v>
      </c>
    </row>
    <row r="78" spans="1:11" s="281" customFormat="1" ht="15" customHeight="1" x14ac:dyDescent="0.25">
      <c r="A78" s="625" t="s">
        <v>191</v>
      </c>
      <c r="B78" s="648" t="s">
        <v>204</v>
      </c>
      <c r="C78" s="652" t="s">
        <v>205</v>
      </c>
      <c r="D78" s="631">
        <v>1</v>
      </c>
      <c r="E78" s="282" t="s">
        <v>140</v>
      </c>
      <c r="F78" s="112">
        <f>787402+4033505</f>
        <v>4820907</v>
      </c>
      <c r="G78" s="112">
        <v>0</v>
      </c>
      <c r="H78" s="112">
        <f>5494598-3983505</f>
        <v>1511093</v>
      </c>
      <c r="I78" s="112">
        <f>1750000+1750000-50000</f>
        <v>3450000</v>
      </c>
      <c r="J78" s="123">
        <v>0</v>
      </c>
      <c r="K78" s="283">
        <f>F78+G78+H78+I78+J78</f>
        <v>9782000</v>
      </c>
    </row>
    <row r="79" spans="1:11" ht="15" customHeight="1" x14ac:dyDescent="0.25">
      <c r="A79" s="626"/>
      <c r="B79" s="646"/>
      <c r="C79" s="653"/>
      <c r="D79" s="632"/>
      <c r="E79" s="55" t="s">
        <v>141</v>
      </c>
      <c r="F79" s="118">
        <f>1613179-4145</f>
        <v>1609034</v>
      </c>
      <c r="G79" s="118">
        <f>209713+4145</f>
        <v>213858</v>
      </c>
      <c r="H79" s="118">
        <v>0</v>
      </c>
      <c r="I79" s="118">
        <v>0</v>
      </c>
      <c r="J79" s="115">
        <v>0</v>
      </c>
      <c r="K79" s="116">
        <f>F79+G79+H79+I79+J79</f>
        <v>1822892</v>
      </c>
    </row>
    <row r="80" spans="1:11" ht="15" customHeight="1" thickBot="1" x14ac:dyDescent="0.3">
      <c r="A80" s="627"/>
      <c r="B80" s="647"/>
      <c r="C80" s="654"/>
      <c r="D80" s="633"/>
      <c r="E80" s="405" t="s">
        <v>105</v>
      </c>
      <c r="F80" s="403">
        <f t="shared" ref="F80:K80" si="22">SUM(F78:F79)</f>
        <v>6429941</v>
      </c>
      <c r="G80" s="403">
        <f t="shared" si="22"/>
        <v>213858</v>
      </c>
      <c r="H80" s="403">
        <f t="shared" si="22"/>
        <v>1511093</v>
      </c>
      <c r="I80" s="403">
        <f t="shared" si="22"/>
        <v>3450000</v>
      </c>
      <c r="J80" s="403">
        <f t="shared" si="22"/>
        <v>0</v>
      </c>
      <c r="K80" s="404">
        <f t="shared" si="22"/>
        <v>11604892</v>
      </c>
    </row>
    <row r="81" spans="1:11" s="281" customFormat="1" ht="15" customHeight="1" x14ac:dyDescent="0.25">
      <c r="A81" s="625" t="s">
        <v>194</v>
      </c>
      <c r="B81" s="648" t="s">
        <v>207</v>
      </c>
      <c r="C81" s="652" t="s">
        <v>208</v>
      </c>
      <c r="D81" s="631">
        <v>1</v>
      </c>
      <c r="E81" s="282" t="s">
        <v>140</v>
      </c>
      <c r="F81" s="112">
        <f>787402+12673808</f>
        <v>13461210</v>
      </c>
      <c r="G81" s="112">
        <v>0</v>
      </c>
      <c r="H81" s="112">
        <f>15106598-12523808</f>
        <v>2582790</v>
      </c>
      <c r="I81" s="112">
        <f>5600000-150000</f>
        <v>5450000</v>
      </c>
      <c r="J81" s="123">
        <v>0</v>
      </c>
      <c r="K81" s="283">
        <f>F81+G81+H81+I81+J81</f>
        <v>21494000</v>
      </c>
    </row>
    <row r="82" spans="1:11" ht="15" customHeight="1" x14ac:dyDescent="0.25">
      <c r="A82" s="626"/>
      <c r="B82" s="646"/>
      <c r="C82" s="653"/>
      <c r="D82" s="632"/>
      <c r="E82" s="55" t="s">
        <v>141</v>
      </c>
      <c r="F82" s="118">
        <v>854122</v>
      </c>
      <c r="G82" s="118">
        <v>111036</v>
      </c>
      <c r="H82" s="118">
        <v>0</v>
      </c>
      <c r="I82" s="118">
        <v>0</v>
      </c>
      <c r="J82" s="115">
        <v>0</v>
      </c>
      <c r="K82" s="116">
        <f>F82+G82+H82+I82+J82</f>
        <v>965158</v>
      </c>
    </row>
    <row r="83" spans="1:11" ht="15" customHeight="1" thickBot="1" x14ac:dyDescent="0.3">
      <c r="A83" s="627"/>
      <c r="B83" s="647"/>
      <c r="C83" s="654"/>
      <c r="D83" s="633"/>
      <c r="E83" s="405" t="s">
        <v>105</v>
      </c>
      <c r="F83" s="403">
        <f t="shared" ref="F83:K83" si="23">SUM(F81:F82)</f>
        <v>14315332</v>
      </c>
      <c r="G83" s="403">
        <f t="shared" si="23"/>
        <v>111036</v>
      </c>
      <c r="H83" s="403">
        <f t="shared" si="23"/>
        <v>2582790</v>
      </c>
      <c r="I83" s="403">
        <f t="shared" si="23"/>
        <v>5450000</v>
      </c>
      <c r="J83" s="403">
        <f t="shared" si="23"/>
        <v>0</v>
      </c>
      <c r="K83" s="404">
        <f t="shared" si="23"/>
        <v>22459158</v>
      </c>
    </row>
    <row r="84" spans="1:11" ht="15" customHeight="1" x14ac:dyDescent="0.25">
      <c r="A84" s="625" t="s">
        <v>197</v>
      </c>
      <c r="B84" s="648" t="s">
        <v>211</v>
      </c>
      <c r="C84" s="652" t="s">
        <v>212</v>
      </c>
      <c r="D84" s="632">
        <v>1</v>
      </c>
      <c r="E84" s="55" t="s">
        <v>140</v>
      </c>
      <c r="F84" s="111">
        <f>787402+9388184</f>
        <v>10175586</v>
      </c>
      <c r="G84" s="111">
        <v>0</v>
      </c>
      <c r="H84" s="111">
        <f>11212598-8738184</f>
        <v>2474414</v>
      </c>
      <c r="I84" s="111">
        <f>7500000-650000</f>
        <v>6850000</v>
      </c>
      <c r="J84" s="117">
        <v>0</v>
      </c>
      <c r="K84" s="116">
        <f>F84+G84+H84+I84+J84</f>
        <v>19500000</v>
      </c>
    </row>
    <row r="85" spans="1:11" ht="15" customHeight="1" x14ac:dyDescent="0.25">
      <c r="A85" s="626"/>
      <c r="B85" s="646"/>
      <c r="C85" s="653"/>
      <c r="D85" s="632"/>
      <c r="E85" s="55" t="s">
        <v>141</v>
      </c>
      <c r="F85" s="118">
        <v>2371734</v>
      </c>
      <c r="G85" s="118">
        <v>308325</v>
      </c>
      <c r="H85" s="118">
        <v>0</v>
      </c>
      <c r="I85" s="118">
        <v>0</v>
      </c>
      <c r="J85" s="115">
        <v>0</v>
      </c>
      <c r="K85" s="116">
        <f>F85+G85+H85+I85+J85</f>
        <v>2680059</v>
      </c>
    </row>
    <row r="86" spans="1:11" ht="15" customHeight="1" thickBot="1" x14ac:dyDescent="0.3">
      <c r="A86" s="627"/>
      <c r="B86" s="647"/>
      <c r="C86" s="654"/>
      <c r="D86" s="633"/>
      <c r="E86" s="405" t="s">
        <v>105</v>
      </c>
      <c r="F86" s="403">
        <f t="shared" ref="F86:K86" si="24">SUM(F84:F85)</f>
        <v>12547320</v>
      </c>
      <c r="G86" s="403">
        <f t="shared" si="24"/>
        <v>308325</v>
      </c>
      <c r="H86" s="403">
        <f t="shared" si="24"/>
        <v>2474414</v>
      </c>
      <c r="I86" s="403">
        <f t="shared" si="24"/>
        <v>6850000</v>
      </c>
      <c r="J86" s="403">
        <f t="shared" si="24"/>
        <v>0</v>
      </c>
      <c r="K86" s="404">
        <f t="shared" si="24"/>
        <v>22180059</v>
      </c>
    </row>
    <row r="87" spans="1:11" ht="15" customHeight="1" x14ac:dyDescent="0.25">
      <c r="A87" s="692" t="s">
        <v>109</v>
      </c>
      <c r="B87" s="693"/>
      <c r="C87" s="693"/>
      <c r="D87" s="694"/>
      <c r="E87" s="331" t="s">
        <v>140</v>
      </c>
      <c r="F87" s="332">
        <f>F12+F15+F18+F21+F24+F27+F30+F33+F36+F39+F42+F45+F48+F51+F54+F57+F60+F63+F66+F69+F72+F75+F78+F81+F84</f>
        <v>126451053</v>
      </c>
      <c r="G87" s="332">
        <f t="shared" ref="G87:K88" si="25">G12+G15+G18+G21+G24+G27+G30+G33+G36+G39+G42+G45+G48+G51+G54+G57+G60+G63+G66+G69+G72+G75+G78+G81+G84</f>
        <v>6524912</v>
      </c>
      <c r="H87" s="332">
        <f t="shared" si="25"/>
        <v>658603524</v>
      </c>
      <c r="I87" s="332">
        <f t="shared" si="25"/>
        <v>61981141</v>
      </c>
      <c r="J87" s="332">
        <f t="shared" si="25"/>
        <v>304650654</v>
      </c>
      <c r="K87" s="333">
        <f t="shared" si="25"/>
        <v>1158211284</v>
      </c>
    </row>
    <row r="88" spans="1:11" ht="15" customHeight="1" x14ac:dyDescent="0.25">
      <c r="A88" s="695"/>
      <c r="B88" s="696"/>
      <c r="C88" s="696"/>
      <c r="D88" s="697"/>
      <c r="E88" s="334" t="s">
        <v>141</v>
      </c>
      <c r="F88" s="335">
        <f>F13+F16+F19+F22+F25+F28+F31+F34+F37+F40+F43+F46+F49+F52+F55+F58+F61+F64+F67+F70+F73+F76+F79+F82+F85</f>
        <v>219243874</v>
      </c>
      <c r="G88" s="335">
        <f t="shared" si="25"/>
        <v>31198328</v>
      </c>
      <c r="H88" s="335">
        <f t="shared" si="25"/>
        <v>9031093</v>
      </c>
      <c r="I88" s="335">
        <f t="shared" si="25"/>
        <v>0</v>
      </c>
      <c r="J88" s="335">
        <f t="shared" si="25"/>
        <v>0</v>
      </c>
      <c r="K88" s="336">
        <f t="shared" si="25"/>
        <v>259473295</v>
      </c>
    </row>
    <row r="89" spans="1:11" ht="15" customHeight="1" thickBot="1" x14ac:dyDescent="0.3">
      <c r="A89" s="698"/>
      <c r="B89" s="699"/>
      <c r="C89" s="699"/>
      <c r="D89" s="700"/>
      <c r="E89" s="337" t="s">
        <v>105</v>
      </c>
      <c r="F89" s="338">
        <f t="shared" ref="F89:K89" si="26">SUM(F87:F88)</f>
        <v>345694927</v>
      </c>
      <c r="G89" s="338">
        <f t="shared" si="26"/>
        <v>37723240</v>
      </c>
      <c r="H89" s="338">
        <f t="shared" si="26"/>
        <v>667634617</v>
      </c>
      <c r="I89" s="338">
        <f t="shared" si="26"/>
        <v>61981141</v>
      </c>
      <c r="J89" s="338">
        <f t="shared" si="26"/>
        <v>304650654</v>
      </c>
      <c r="K89" s="339">
        <f t="shared" si="26"/>
        <v>1417684579</v>
      </c>
    </row>
    <row r="90" spans="1:11" ht="15" customHeight="1" x14ac:dyDescent="0.25">
      <c r="A90" s="674"/>
      <c r="B90" s="674"/>
      <c r="C90" s="674"/>
      <c r="D90" s="674"/>
      <c r="E90" s="674"/>
      <c r="F90" s="674"/>
      <c r="G90" s="674"/>
    </row>
    <row r="91" spans="1:11" ht="16.5" thickBot="1" x14ac:dyDescent="0.3">
      <c r="J91" s="624" t="s">
        <v>252</v>
      </c>
      <c r="K91" s="624"/>
    </row>
    <row r="92" spans="1:11" x14ac:dyDescent="0.25">
      <c r="A92" s="638" t="s">
        <v>9</v>
      </c>
      <c r="B92" s="641" t="s">
        <v>96</v>
      </c>
      <c r="C92" s="641"/>
      <c r="D92" s="641"/>
      <c r="E92" s="678" t="s">
        <v>290</v>
      </c>
      <c r="F92" s="678"/>
      <c r="G92" s="678"/>
      <c r="H92" s="678"/>
      <c r="I92" s="678"/>
      <c r="J92" s="678"/>
      <c r="K92" s="679"/>
    </row>
    <row r="93" spans="1:11" x14ac:dyDescent="0.25">
      <c r="A93" s="639"/>
      <c r="B93" s="618"/>
      <c r="C93" s="618"/>
      <c r="D93" s="618"/>
      <c r="E93" s="634" t="s">
        <v>142</v>
      </c>
      <c r="F93" s="634"/>
      <c r="G93" s="634"/>
      <c r="H93" s="634"/>
      <c r="I93" s="634"/>
      <c r="J93" s="634"/>
      <c r="K93" s="680"/>
    </row>
    <row r="94" spans="1:11" x14ac:dyDescent="0.25">
      <c r="A94" s="639"/>
      <c r="B94" s="681" t="s">
        <v>100</v>
      </c>
      <c r="C94" s="618" t="s">
        <v>101</v>
      </c>
      <c r="D94" s="618" t="s">
        <v>172</v>
      </c>
      <c r="E94" s="618" t="s">
        <v>138</v>
      </c>
      <c r="F94" s="634" t="s">
        <v>108</v>
      </c>
      <c r="G94" s="634"/>
      <c r="H94" s="634"/>
      <c r="I94" s="634"/>
      <c r="J94" s="634"/>
      <c r="K94" s="680"/>
    </row>
    <row r="95" spans="1:11" ht="24.75" thickBot="1" x14ac:dyDescent="0.3">
      <c r="A95" s="640"/>
      <c r="B95" s="682"/>
      <c r="C95" s="619"/>
      <c r="D95" s="619"/>
      <c r="E95" s="619"/>
      <c r="F95" s="328" t="s">
        <v>143</v>
      </c>
      <c r="G95" s="328" t="s">
        <v>144</v>
      </c>
      <c r="H95" s="328" t="s">
        <v>145</v>
      </c>
      <c r="I95" s="329" t="s">
        <v>150</v>
      </c>
      <c r="J95" s="327" t="s">
        <v>146</v>
      </c>
      <c r="K95" s="330" t="s">
        <v>105</v>
      </c>
    </row>
    <row r="96" spans="1:11" x14ac:dyDescent="0.25">
      <c r="A96" s="625" t="s">
        <v>1</v>
      </c>
      <c r="B96" s="659" t="s">
        <v>156</v>
      </c>
      <c r="C96" s="628" t="s">
        <v>157</v>
      </c>
      <c r="D96" s="631">
        <v>0.95</v>
      </c>
      <c r="E96" s="282" t="s">
        <v>140</v>
      </c>
      <c r="F96" s="112">
        <v>469620</v>
      </c>
      <c r="G96" s="112">
        <v>46112</v>
      </c>
      <c r="H96" s="112">
        <f>2000000+129074</f>
        <v>2129074</v>
      </c>
      <c r="I96" s="112">
        <v>0</v>
      </c>
      <c r="J96" s="123">
        <v>0</v>
      </c>
      <c r="K96" s="113">
        <f>F96+G96+H96+I96+J96</f>
        <v>2644806</v>
      </c>
    </row>
    <row r="97" spans="1:11" x14ac:dyDescent="0.25">
      <c r="A97" s="626"/>
      <c r="B97" s="657"/>
      <c r="C97" s="629"/>
      <c r="D97" s="632"/>
      <c r="E97" s="126" t="s">
        <v>141</v>
      </c>
      <c r="F97" s="127">
        <v>562355</v>
      </c>
      <c r="G97" s="127">
        <v>74097</v>
      </c>
      <c r="H97" s="127">
        <v>0</v>
      </c>
      <c r="I97" s="127">
        <v>0</v>
      </c>
      <c r="J97" s="284">
        <v>0</v>
      </c>
      <c r="K97" s="116">
        <f>F97+G97+H97+I97+J97</f>
        <v>636452</v>
      </c>
    </row>
    <row r="98" spans="1:11" ht="16.5" thickBot="1" x14ac:dyDescent="0.3">
      <c r="A98" s="627"/>
      <c r="B98" s="658"/>
      <c r="C98" s="630"/>
      <c r="D98" s="633"/>
      <c r="E98" s="405" t="s">
        <v>105</v>
      </c>
      <c r="F98" s="403">
        <f t="shared" ref="F98:K98" si="27">SUM(F96:F97)</f>
        <v>1031975</v>
      </c>
      <c r="G98" s="403">
        <f t="shared" si="27"/>
        <v>120209</v>
      </c>
      <c r="H98" s="403">
        <f t="shared" si="27"/>
        <v>2129074</v>
      </c>
      <c r="I98" s="403">
        <f t="shared" si="27"/>
        <v>0</v>
      </c>
      <c r="J98" s="403">
        <f t="shared" si="27"/>
        <v>0</v>
      </c>
      <c r="K98" s="404">
        <f t="shared" si="27"/>
        <v>3281258</v>
      </c>
    </row>
    <row r="99" spans="1:11" x14ac:dyDescent="0.25">
      <c r="A99" s="625" t="s">
        <v>2</v>
      </c>
      <c r="B99" s="659" t="s">
        <v>158</v>
      </c>
      <c r="C99" s="628" t="s">
        <v>159</v>
      </c>
      <c r="D99" s="631">
        <v>0.95</v>
      </c>
      <c r="E99" s="90" t="s">
        <v>140</v>
      </c>
      <c r="F99" s="111">
        <v>0</v>
      </c>
      <c r="G99" s="111">
        <v>0</v>
      </c>
      <c r="H99" s="111">
        <v>0</v>
      </c>
      <c r="I99" s="111">
        <v>0</v>
      </c>
      <c r="J99" s="117">
        <v>0</v>
      </c>
      <c r="K99" s="113">
        <f>F99+G99+H99+I99+J99</f>
        <v>0</v>
      </c>
    </row>
    <row r="100" spans="1:11" x14ac:dyDescent="0.25">
      <c r="A100" s="626"/>
      <c r="B100" s="657"/>
      <c r="C100" s="629"/>
      <c r="D100" s="632"/>
      <c r="E100" s="55" t="s">
        <v>141</v>
      </c>
      <c r="F100" s="119">
        <v>693002</v>
      </c>
      <c r="G100" s="119">
        <v>94378</v>
      </c>
      <c r="H100" s="119">
        <v>0</v>
      </c>
      <c r="I100" s="119">
        <v>0</v>
      </c>
      <c r="J100" s="115">
        <v>0</v>
      </c>
      <c r="K100" s="116">
        <f>F100+G100+H100+I100+J100</f>
        <v>787380</v>
      </c>
    </row>
    <row r="101" spans="1:11" ht="16.5" thickBot="1" x14ac:dyDescent="0.3">
      <c r="A101" s="627"/>
      <c r="B101" s="658"/>
      <c r="C101" s="630"/>
      <c r="D101" s="633"/>
      <c r="E101" s="405" t="s">
        <v>105</v>
      </c>
      <c r="F101" s="403">
        <f t="shared" ref="F101:K101" si="28">SUM(F99:F100)</f>
        <v>693002</v>
      </c>
      <c r="G101" s="403">
        <f t="shared" si="28"/>
        <v>94378</v>
      </c>
      <c r="H101" s="403">
        <f t="shared" si="28"/>
        <v>0</v>
      </c>
      <c r="I101" s="403">
        <f t="shared" si="28"/>
        <v>0</v>
      </c>
      <c r="J101" s="403">
        <f t="shared" si="28"/>
        <v>0</v>
      </c>
      <c r="K101" s="404">
        <f t="shared" si="28"/>
        <v>787380</v>
      </c>
    </row>
    <row r="102" spans="1:11" x14ac:dyDescent="0.25">
      <c r="A102" s="625" t="s">
        <v>4</v>
      </c>
      <c r="B102" s="659" t="s">
        <v>175</v>
      </c>
      <c r="C102" s="628" t="s">
        <v>176</v>
      </c>
      <c r="D102" s="631">
        <v>0.95</v>
      </c>
      <c r="E102" s="90" t="s">
        <v>140</v>
      </c>
      <c r="F102" s="111">
        <v>3709565</v>
      </c>
      <c r="G102" s="111">
        <v>488132</v>
      </c>
      <c r="H102" s="111">
        <v>574494</v>
      </c>
      <c r="I102" s="111">
        <v>0</v>
      </c>
      <c r="J102" s="117">
        <v>0</v>
      </c>
      <c r="K102" s="113">
        <f>F102+G102+H102+I102+J102</f>
        <v>4772191</v>
      </c>
    </row>
    <row r="103" spans="1:11" x14ac:dyDescent="0.25">
      <c r="A103" s="626"/>
      <c r="B103" s="657"/>
      <c r="C103" s="629"/>
      <c r="D103" s="632"/>
      <c r="E103" s="55" t="s">
        <v>141</v>
      </c>
      <c r="F103" s="119">
        <v>4979275</v>
      </c>
      <c r="G103" s="119">
        <v>652556</v>
      </c>
      <c r="H103" s="119">
        <v>0</v>
      </c>
      <c r="I103" s="119">
        <v>0</v>
      </c>
      <c r="J103" s="115">
        <v>0</v>
      </c>
      <c r="K103" s="116">
        <f>F103+G103+H103+I103+J103</f>
        <v>5631831</v>
      </c>
    </row>
    <row r="104" spans="1:11" ht="16.5" thickBot="1" x14ac:dyDescent="0.3">
      <c r="A104" s="627"/>
      <c r="B104" s="658"/>
      <c r="C104" s="630"/>
      <c r="D104" s="633"/>
      <c r="E104" s="405" t="s">
        <v>105</v>
      </c>
      <c r="F104" s="403">
        <f t="shared" ref="F104:K104" si="29">SUM(F102:F103)</f>
        <v>8688840</v>
      </c>
      <c r="G104" s="403">
        <f t="shared" si="29"/>
        <v>1140688</v>
      </c>
      <c r="H104" s="403">
        <f t="shared" si="29"/>
        <v>574494</v>
      </c>
      <c r="I104" s="403">
        <f t="shared" si="29"/>
        <v>0</v>
      </c>
      <c r="J104" s="403">
        <f t="shared" si="29"/>
        <v>0</v>
      </c>
      <c r="K104" s="404">
        <f t="shared" si="29"/>
        <v>10404022</v>
      </c>
    </row>
    <row r="105" spans="1:11" x14ac:dyDescent="0.25">
      <c r="A105" s="625" t="s">
        <v>5</v>
      </c>
      <c r="B105" s="659" t="s">
        <v>177</v>
      </c>
      <c r="C105" s="628" t="s">
        <v>178</v>
      </c>
      <c r="D105" s="631">
        <v>0.95</v>
      </c>
      <c r="E105" s="90" t="s">
        <v>140</v>
      </c>
      <c r="F105" s="111">
        <v>962688</v>
      </c>
      <c r="G105" s="111">
        <v>54756</v>
      </c>
      <c r="H105" s="111">
        <v>1129554</v>
      </c>
      <c r="I105" s="111">
        <v>0</v>
      </c>
      <c r="J105" s="117">
        <v>0</v>
      </c>
      <c r="K105" s="113">
        <f>F105+G105+H105+I105+J105</f>
        <v>2146998</v>
      </c>
    </row>
    <row r="106" spans="1:11" x14ac:dyDescent="0.25">
      <c r="A106" s="626"/>
      <c r="B106" s="657"/>
      <c r="C106" s="629"/>
      <c r="D106" s="632"/>
      <c r="E106" s="55" t="s">
        <v>141</v>
      </c>
      <c r="F106" s="119">
        <v>7179912</v>
      </c>
      <c r="G106" s="119">
        <v>924869</v>
      </c>
      <c r="H106" s="119">
        <v>0</v>
      </c>
      <c r="I106" s="119">
        <v>0</v>
      </c>
      <c r="J106" s="115">
        <v>0</v>
      </c>
      <c r="K106" s="116">
        <f>F106+G106+H106+I106+J106</f>
        <v>8104781</v>
      </c>
    </row>
    <row r="107" spans="1:11" ht="16.5" thickBot="1" x14ac:dyDescent="0.3">
      <c r="A107" s="627"/>
      <c r="B107" s="658"/>
      <c r="C107" s="630"/>
      <c r="D107" s="633"/>
      <c r="E107" s="405" t="s">
        <v>105</v>
      </c>
      <c r="F107" s="403">
        <f t="shared" ref="F107:K107" si="30">SUM(F105:F106)</f>
        <v>8142600</v>
      </c>
      <c r="G107" s="403">
        <f t="shared" si="30"/>
        <v>979625</v>
      </c>
      <c r="H107" s="403">
        <f t="shared" si="30"/>
        <v>1129554</v>
      </c>
      <c r="I107" s="403">
        <f t="shared" si="30"/>
        <v>0</v>
      </c>
      <c r="J107" s="403">
        <f t="shared" si="30"/>
        <v>0</v>
      </c>
      <c r="K107" s="404">
        <f t="shared" si="30"/>
        <v>10251779</v>
      </c>
    </row>
    <row r="108" spans="1:11" x14ac:dyDescent="0.25">
      <c r="A108" s="625" t="s">
        <v>7</v>
      </c>
      <c r="B108" s="659" t="s">
        <v>179</v>
      </c>
      <c r="C108" s="628" t="s">
        <v>180</v>
      </c>
      <c r="D108" s="631">
        <v>0.95</v>
      </c>
      <c r="E108" s="90" t="s">
        <v>140</v>
      </c>
      <c r="F108" s="111">
        <v>1686720</v>
      </c>
      <c r="G108" s="111">
        <v>229852</v>
      </c>
      <c r="H108" s="111">
        <v>0</v>
      </c>
      <c r="I108" s="111">
        <v>0</v>
      </c>
      <c r="J108" s="117">
        <v>0</v>
      </c>
      <c r="K108" s="113">
        <f>F108+G108+H108+I108+J108</f>
        <v>1916572</v>
      </c>
    </row>
    <row r="109" spans="1:11" x14ac:dyDescent="0.25">
      <c r="A109" s="626"/>
      <c r="B109" s="657"/>
      <c r="C109" s="629"/>
      <c r="D109" s="632"/>
      <c r="E109" s="55" t="s">
        <v>141</v>
      </c>
      <c r="F109" s="119">
        <v>2209788</v>
      </c>
      <c r="G109" s="119">
        <v>298242</v>
      </c>
      <c r="H109" s="119">
        <v>0</v>
      </c>
      <c r="I109" s="119">
        <v>0</v>
      </c>
      <c r="J109" s="115">
        <v>0</v>
      </c>
      <c r="K109" s="116">
        <f>F109+G109+H109+I109+J109</f>
        <v>2508030</v>
      </c>
    </row>
    <row r="110" spans="1:11" ht="16.5" thickBot="1" x14ac:dyDescent="0.3">
      <c r="A110" s="627"/>
      <c r="B110" s="658"/>
      <c r="C110" s="630"/>
      <c r="D110" s="633"/>
      <c r="E110" s="405" t="s">
        <v>105</v>
      </c>
      <c r="F110" s="403">
        <f t="shared" ref="F110:K110" si="31">SUM(F108:F109)</f>
        <v>3896508</v>
      </c>
      <c r="G110" s="403">
        <f t="shared" si="31"/>
        <v>528094</v>
      </c>
      <c r="H110" s="403">
        <f t="shared" si="31"/>
        <v>0</v>
      </c>
      <c r="I110" s="403">
        <f t="shared" si="31"/>
        <v>0</v>
      </c>
      <c r="J110" s="403">
        <f t="shared" si="31"/>
        <v>0</v>
      </c>
      <c r="K110" s="404">
        <f t="shared" si="31"/>
        <v>4424602</v>
      </c>
    </row>
    <row r="111" spans="1:11" x14ac:dyDescent="0.25">
      <c r="A111" s="683" t="s">
        <v>27</v>
      </c>
      <c r="B111" s="657" t="s">
        <v>181</v>
      </c>
      <c r="C111" s="657" t="s">
        <v>182</v>
      </c>
      <c r="D111" s="632">
        <v>0.95</v>
      </c>
      <c r="E111" s="126" t="s">
        <v>140</v>
      </c>
      <c r="F111" s="120">
        <v>1776475</v>
      </c>
      <c r="G111" s="120">
        <f>495600-330400+13437</f>
        <v>178637</v>
      </c>
      <c r="H111" s="120">
        <f>6048400-4235453-1592566</f>
        <v>220381</v>
      </c>
      <c r="I111" s="120">
        <v>0</v>
      </c>
      <c r="J111" s="285">
        <f>2000000+905000</f>
        <v>2905000</v>
      </c>
      <c r="K111" s="116">
        <f>F111+G111+H111+I111+J111</f>
        <v>5080493</v>
      </c>
    </row>
    <row r="112" spans="1:11" x14ac:dyDescent="0.25">
      <c r="A112" s="684"/>
      <c r="B112" s="657"/>
      <c r="C112" s="657"/>
      <c r="D112" s="632"/>
      <c r="E112" s="55" t="s">
        <v>141</v>
      </c>
      <c r="F112" s="119">
        <v>10672141</v>
      </c>
      <c r="G112" s="119">
        <v>1418925</v>
      </c>
      <c r="H112" s="119">
        <v>0</v>
      </c>
      <c r="I112" s="119">
        <v>0</v>
      </c>
      <c r="J112" s="115">
        <v>0</v>
      </c>
      <c r="K112" s="116">
        <f>F112+G112+H112+I112+J112</f>
        <v>12091066</v>
      </c>
    </row>
    <row r="113" spans="1:11" ht="16.5" thickBot="1" x14ac:dyDescent="0.3">
      <c r="A113" s="685"/>
      <c r="B113" s="658"/>
      <c r="C113" s="658"/>
      <c r="D113" s="633"/>
      <c r="E113" s="405" t="s">
        <v>105</v>
      </c>
      <c r="F113" s="403">
        <f t="shared" ref="F113:K113" si="32">SUM(F111:F112)</f>
        <v>12448616</v>
      </c>
      <c r="G113" s="403">
        <f t="shared" si="32"/>
        <v>1597562</v>
      </c>
      <c r="H113" s="403">
        <f t="shared" si="32"/>
        <v>220381</v>
      </c>
      <c r="I113" s="403">
        <f t="shared" si="32"/>
        <v>0</v>
      </c>
      <c r="J113" s="403">
        <f t="shared" si="32"/>
        <v>2905000</v>
      </c>
      <c r="K113" s="404">
        <f t="shared" si="32"/>
        <v>17171559</v>
      </c>
    </row>
    <row r="114" spans="1:11" x14ac:dyDescent="0.25">
      <c r="A114" s="625" t="s">
        <v>81</v>
      </c>
      <c r="B114" s="657" t="s">
        <v>268</v>
      </c>
      <c r="C114" s="629" t="s">
        <v>269</v>
      </c>
      <c r="D114" s="632">
        <v>0.9395</v>
      </c>
      <c r="E114" s="55" t="s">
        <v>140</v>
      </c>
      <c r="F114" s="114">
        <v>0</v>
      </c>
      <c r="G114" s="114">
        <v>0</v>
      </c>
      <c r="H114" s="114">
        <f>167301+50378</f>
        <v>217679</v>
      </c>
      <c r="I114" s="114">
        <v>0</v>
      </c>
      <c r="J114" s="121">
        <v>0</v>
      </c>
      <c r="K114" s="116">
        <f>F114+G114+H114+I114+J114</f>
        <v>217679</v>
      </c>
    </row>
    <row r="115" spans="1:11" x14ac:dyDescent="0.25">
      <c r="A115" s="626"/>
      <c r="B115" s="657"/>
      <c r="C115" s="629"/>
      <c r="D115" s="632"/>
      <c r="E115" s="55" t="s">
        <v>141</v>
      </c>
      <c r="F115" s="119">
        <v>1620000</v>
      </c>
      <c r="G115" s="119">
        <v>210600</v>
      </c>
      <c r="H115" s="119">
        <v>0</v>
      </c>
      <c r="I115" s="119">
        <v>0</v>
      </c>
      <c r="J115" s="115">
        <v>0</v>
      </c>
      <c r="K115" s="116">
        <f>F115+G115+H115+I115+J115</f>
        <v>1830600</v>
      </c>
    </row>
    <row r="116" spans="1:11" ht="16.5" thickBot="1" x14ac:dyDescent="0.3">
      <c r="A116" s="627"/>
      <c r="B116" s="658"/>
      <c r="C116" s="630"/>
      <c r="D116" s="633"/>
      <c r="E116" s="405" t="s">
        <v>105</v>
      </c>
      <c r="F116" s="403">
        <f t="shared" ref="F116:K116" si="33">SUM(F114:F115)</f>
        <v>1620000</v>
      </c>
      <c r="G116" s="403">
        <f t="shared" si="33"/>
        <v>210600</v>
      </c>
      <c r="H116" s="403">
        <f t="shared" si="33"/>
        <v>217679</v>
      </c>
      <c r="I116" s="403">
        <f t="shared" si="33"/>
        <v>0</v>
      </c>
      <c r="J116" s="403">
        <f t="shared" si="33"/>
        <v>0</v>
      </c>
      <c r="K116" s="404">
        <f t="shared" si="33"/>
        <v>2048279</v>
      </c>
    </row>
    <row r="117" spans="1:11" x14ac:dyDescent="0.25">
      <c r="A117" s="683" t="s">
        <v>82</v>
      </c>
      <c r="B117" s="660" t="s">
        <v>270</v>
      </c>
      <c r="C117" s="659">
        <v>101035163</v>
      </c>
      <c r="D117" s="631">
        <v>0.60099999999999998</v>
      </c>
      <c r="E117" s="282" t="s">
        <v>140</v>
      </c>
      <c r="F117" s="112">
        <v>2078537</v>
      </c>
      <c r="G117" s="112">
        <v>310099</v>
      </c>
      <c r="H117" s="112">
        <v>894023</v>
      </c>
      <c r="I117" s="112">
        <v>0</v>
      </c>
      <c r="J117" s="123">
        <v>17980</v>
      </c>
      <c r="K117" s="113">
        <f>F117+G117+H117+I117+J117</f>
        <v>3300639</v>
      </c>
    </row>
    <row r="118" spans="1:11" x14ac:dyDescent="0.25">
      <c r="A118" s="684"/>
      <c r="B118" s="655"/>
      <c r="C118" s="657"/>
      <c r="D118" s="632"/>
      <c r="E118" s="126" t="s">
        <v>141</v>
      </c>
      <c r="F118" s="122">
        <v>8697084</v>
      </c>
      <c r="G118" s="122">
        <v>1228094</v>
      </c>
      <c r="H118" s="122">
        <v>5684</v>
      </c>
      <c r="I118" s="122">
        <v>0</v>
      </c>
      <c r="J118" s="284">
        <v>0</v>
      </c>
      <c r="K118" s="116">
        <f>F118+G118+H118+I118+J118</f>
        <v>9930862</v>
      </c>
    </row>
    <row r="119" spans="1:11" ht="16.5" thickBot="1" x14ac:dyDescent="0.3">
      <c r="A119" s="685"/>
      <c r="B119" s="656"/>
      <c r="C119" s="658"/>
      <c r="D119" s="633"/>
      <c r="E119" s="405" t="s">
        <v>105</v>
      </c>
      <c r="F119" s="403">
        <f t="shared" ref="F119:K119" si="34">SUM(F117:F118)</f>
        <v>10775621</v>
      </c>
      <c r="G119" s="403">
        <f t="shared" si="34"/>
        <v>1538193</v>
      </c>
      <c r="H119" s="403">
        <f t="shared" si="34"/>
        <v>899707</v>
      </c>
      <c r="I119" s="403">
        <f t="shared" si="34"/>
        <v>0</v>
      </c>
      <c r="J119" s="403">
        <f t="shared" si="34"/>
        <v>17980</v>
      </c>
      <c r="K119" s="404">
        <f t="shared" si="34"/>
        <v>13231501</v>
      </c>
    </row>
    <row r="120" spans="1:11" x14ac:dyDescent="0.25">
      <c r="A120" s="683" t="s">
        <v>93</v>
      </c>
      <c r="B120" s="655" t="s">
        <v>322</v>
      </c>
      <c r="C120" s="659">
        <v>101074095</v>
      </c>
      <c r="D120" s="631">
        <v>0.9</v>
      </c>
      <c r="E120" s="126" t="s">
        <v>140</v>
      </c>
      <c r="F120" s="120">
        <v>328134</v>
      </c>
      <c r="G120" s="120">
        <v>14306</v>
      </c>
      <c r="H120" s="120">
        <v>299728</v>
      </c>
      <c r="I120" s="120">
        <v>0</v>
      </c>
      <c r="J120" s="285">
        <v>0</v>
      </c>
      <c r="K120" s="116">
        <f>F120+G120+H120+I120+J120</f>
        <v>642168</v>
      </c>
    </row>
    <row r="121" spans="1:11" x14ac:dyDescent="0.25">
      <c r="A121" s="684"/>
      <c r="B121" s="655"/>
      <c r="C121" s="657"/>
      <c r="D121" s="632"/>
      <c r="E121" s="126" t="s">
        <v>141</v>
      </c>
      <c r="F121" s="122">
        <v>5057291</v>
      </c>
      <c r="G121" s="122">
        <v>704737</v>
      </c>
      <c r="H121" s="122">
        <v>47509</v>
      </c>
      <c r="I121" s="122">
        <v>0</v>
      </c>
      <c r="J121" s="284">
        <v>0</v>
      </c>
      <c r="K121" s="116">
        <f>F121+G121+H121+I121+J121</f>
        <v>5809537</v>
      </c>
    </row>
    <row r="122" spans="1:11" ht="16.5" thickBot="1" x14ac:dyDescent="0.3">
      <c r="A122" s="685"/>
      <c r="B122" s="656"/>
      <c r="C122" s="658"/>
      <c r="D122" s="633"/>
      <c r="E122" s="405" t="s">
        <v>105</v>
      </c>
      <c r="F122" s="403">
        <f t="shared" ref="F122:K122" si="35">SUM(F120:F121)</f>
        <v>5385425</v>
      </c>
      <c r="G122" s="403">
        <f t="shared" si="35"/>
        <v>719043</v>
      </c>
      <c r="H122" s="403">
        <f t="shared" si="35"/>
        <v>347237</v>
      </c>
      <c r="I122" s="403">
        <f t="shared" si="35"/>
        <v>0</v>
      </c>
      <c r="J122" s="403">
        <f t="shared" si="35"/>
        <v>0</v>
      </c>
      <c r="K122" s="404">
        <f t="shared" si="35"/>
        <v>6451705</v>
      </c>
    </row>
    <row r="123" spans="1:11" ht="15.75" customHeight="1" x14ac:dyDescent="0.25">
      <c r="A123" s="683" t="s">
        <v>131</v>
      </c>
      <c r="B123" s="660" t="s">
        <v>111</v>
      </c>
      <c r="C123" s="686" t="s">
        <v>160</v>
      </c>
      <c r="D123" s="631">
        <v>1</v>
      </c>
      <c r="E123" s="90" t="s">
        <v>140</v>
      </c>
      <c r="F123" s="111">
        <v>1073810</v>
      </c>
      <c r="G123" s="111">
        <v>54250</v>
      </c>
      <c r="H123" s="111">
        <v>482574</v>
      </c>
      <c r="I123" s="111">
        <v>0</v>
      </c>
      <c r="J123" s="117">
        <v>0</v>
      </c>
      <c r="K123" s="113">
        <f>F123+G123+H123+I123+J123</f>
        <v>1610634</v>
      </c>
    </row>
    <row r="124" spans="1:11" x14ac:dyDescent="0.25">
      <c r="A124" s="684"/>
      <c r="B124" s="655"/>
      <c r="C124" s="687"/>
      <c r="D124" s="632"/>
      <c r="E124" s="55" t="s">
        <v>141</v>
      </c>
      <c r="F124" s="118">
        <v>13269149</v>
      </c>
      <c r="G124" s="118">
        <v>1832815</v>
      </c>
      <c r="H124" s="118">
        <v>291426</v>
      </c>
      <c r="I124" s="118">
        <v>0</v>
      </c>
      <c r="J124" s="115">
        <v>0</v>
      </c>
      <c r="K124" s="116">
        <f>F124+G124+H124+I124+J124</f>
        <v>15393390</v>
      </c>
    </row>
    <row r="125" spans="1:11" ht="16.5" thickBot="1" x14ac:dyDescent="0.3">
      <c r="A125" s="685"/>
      <c r="B125" s="656"/>
      <c r="C125" s="688"/>
      <c r="D125" s="633"/>
      <c r="E125" s="405" t="s">
        <v>105</v>
      </c>
      <c r="F125" s="403">
        <f t="shared" ref="F125:K125" si="36">SUM(F123:F124)</f>
        <v>14342959</v>
      </c>
      <c r="G125" s="403">
        <f t="shared" si="36"/>
        <v>1887065</v>
      </c>
      <c r="H125" s="403">
        <f t="shared" si="36"/>
        <v>774000</v>
      </c>
      <c r="I125" s="403">
        <f t="shared" si="36"/>
        <v>0</v>
      </c>
      <c r="J125" s="403">
        <f t="shared" si="36"/>
        <v>0</v>
      </c>
      <c r="K125" s="404">
        <f t="shared" si="36"/>
        <v>17004024</v>
      </c>
    </row>
    <row r="126" spans="1:11" ht="15.75" customHeight="1" x14ac:dyDescent="0.25">
      <c r="A126" s="683" t="s">
        <v>132</v>
      </c>
      <c r="B126" s="660" t="s">
        <v>149</v>
      </c>
      <c r="C126" s="689" t="s">
        <v>161</v>
      </c>
      <c r="D126" s="631">
        <v>1</v>
      </c>
      <c r="E126" s="90" t="s">
        <v>140</v>
      </c>
      <c r="F126" s="111">
        <v>67838</v>
      </c>
      <c r="G126" s="111">
        <v>31388</v>
      </c>
      <c r="H126" s="111">
        <v>5007312</v>
      </c>
      <c r="I126" s="111">
        <v>10000000</v>
      </c>
      <c r="J126" s="117">
        <v>108330619</v>
      </c>
      <c r="K126" s="113">
        <f>F126+G126+H126+I126+J126</f>
        <v>123437157</v>
      </c>
    </row>
    <row r="127" spans="1:11" x14ac:dyDescent="0.25">
      <c r="A127" s="684"/>
      <c r="B127" s="655"/>
      <c r="C127" s="690"/>
      <c r="D127" s="632"/>
      <c r="E127" s="55" t="s">
        <v>141</v>
      </c>
      <c r="F127" s="118">
        <v>5576626</v>
      </c>
      <c r="G127" s="118">
        <v>752414</v>
      </c>
      <c r="H127" s="118">
        <v>0</v>
      </c>
      <c r="I127" s="118">
        <v>0</v>
      </c>
      <c r="J127" s="115">
        <v>0</v>
      </c>
      <c r="K127" s="116">
        <f>F127+G127+H127+I127+J127</f>
        <v>6329040</v>
      </c>
    </row>
    <row r="128" spans="1:11" ht="16.5" thickBot="1" x14ac:dyDescent="0.3">
      <c r="A128" s="685"/>
      <c r="B128" s="656"/>
      <c r="C128" s="691"/>
      <c r="D128" s="633"/>
      <c r="E128" s="405" t="s">
        <v>105</v>
      </c>
      <c r="F128" s="403">
        <f t="shared" ref="F128:K128" si="37">SUM(F126:F127)</f>
        <v>5644464</v>
      </c>
      <c r="G128" s="403">
        <f t="shared" si="37"/>
        <v>783802</v>
      </c>
      <c r="H128" s="403">
        <f t="shared" si="37"/>
        <v>5007312</v>
      </c>
      <c r="I128" s="403">
        <f t="shared" si="37"/>
        <v>10000000</v>
      </c>
      <c r="J128" s="403">
        <f t="shared" si="37"/>
        <v>108330619</v>
      </c>
      <c r="K128" s="404">
        <f t="shared" si="37"/>
        <v>129766197</v>
      </c>
    </row>
    <row r="129" spans="1:11" x14ac:dyDescent="0.25">
      <c r="A129" s="683" t="s">
        <v>136</v>
      </c>
      <c r="B129" s="660" t="s">
        <v>183</v>
      </c>
      <c r="C129" s="686" t="s">
        <v>184</v>
      </c>
      <c r="D129" s="631">
        <v>1</v>
      </c>
      <c r="E129" s="90" t="s">
        <v>140</v>
      </c>
      <c r="F129" s="111">
        <v>18181400</v>
      </c>
      <c r="G129" s="111">
        <v>995813</v>
      </c>
      <c r="H129" s="111">
        <v>282729571</v>
      </c>
      <c r="I129" s="111">
        <v>0</v>
      </c>
      <c r="J129" s="117">
        <v>73959098</v>
      </c>
      <c r="K129" s="113">
        <f>F129+G129+H129+I129+J129</f>
        <v>375865882</v>
      </c>
    </row>
    <row r="130" spans="1:11" x14ac:dyDescent="0.25">
      <c r="A130" s="684"/>
      <c r="B130" s="655"/>
      <c r="C130" s="687"/>
      <c r="D130" s="632"/>
      <c r="E130" s="55" t="s">
        <v>141</v>
      </c>
      <c r="F130" s="118">
        <v>58862572</v>
      </c>
      <c r="G130" s="118">
        <v>7958519</v>
      </c>
      <c r="H130" s="118">
        <v>249150</v>
      </c>
      <c r="I130" s="118">
        <v>0</v>
      </c>
      <c r="J130" s="115"/>
      <c r="K130" s="116">
        <f>F130+G130+H130+I130+J130</f>
        <v>67070241</v>
      </c>
    </row>
    <row r="131" spans="1:11" ht="16.5" thickBot="1" x14ac:dyDescent="0.3">
      <c r="A131" s="685"/>
      <c r="B131" s="656"/>
      <c r="C131" s="688"/>
      <c r="D131" s="633"/>
      <c r="E131" s="405" t="s">
        <v>105</v>
      </c>
      <c r="F131" s="403">
        <f t="shared" ref="F131:K131" si="38">SUM(F129:F130)</f>
        <v>77043972</v>
      </c>
      <c r="G131" s="403">
        <f t="shared" si="38"/>
        <v>8954332</v>
      </c>
      <c r="H131" s="403">
        <f t="shared" si="38"/>
        <v>282978721</v>
      </c>
      <c r="I131" s="403">
        <f t="shared" si="38"/>
        <v>0</v>
      </c>
      <c r="J131" s="403">
        <f t="shared" si="38"/>
        <v>73959098</v>
      </c>
      <c r="K131" s="404">
        <f t="shared" si="38"/>
        <v>442936123</v>
      </c>
    </row>
    <row r="132" spans="1:11" ht="15.75" customHeight="1" x14ac:dyDescent="0.25">
      <c r="A132" s="683" t="s">
        <v>154</v>
      </c>
      <c r="B132" s="660" t="s">
        <v>271</v>
      </c>
      <c r="C132" s="686" t="s">
        <v>272</v>
      </c>
      <c r="D132" s="631">
        <v>1</v>
      </c>
      <c r="E132" s="90" t="s">
        <v>140</v>
      </c>
      <c r="F132" s="111">
        <v>78739</v>
      </c>
      <c r="G132" s="111">
        <v>0</v>
      </c>
      <c r="H132" s="111">
        <v>1348060</v>
      </c>
      <c r="I132" s="111">
        <v>0</v>
      </c>
      <c r="J132" s="117">
        <v>0</v>
      </c>
      <c r="K132" s="113">
        <f>F132+G132+H132+I132+J132</f>
        <v>1426799</v>
      </c>
    </row>
    <row r="133" spans="1:11" x14ac:dyDescent="0.25">
      <c r="A133" s="684"/>
      <c r="B133" s="655"/>
      <c r="C133" s="687"/>
      <c r="D133" s="632"/>
      <c r="E133" s="55" t="s">
        <v>141</v>
      </c>
      <c r="F133" s="118">
        <v>760000</v>
      </c>
      <c r="G133" s="118">
        <v>117800</v>
      </c>
      <c r="H133" s="118">
        <v>152129</v>
      </c>
      <c r="I133" s="118">
        <v>0</v>
      </c>
      <c r="J133" s="115">
        <v>0</v>
      </c>
      <c r="K133" s="116">
        <f>F133+G133+H133+I133+J133</f>
        <v>1029929</v>
      </c>
    </row>
    <row r="134" spans="1:11" ht="16.5" thickBot="1" x14ac:dyDescent="0.3">
      <c r="A134" s="685"/>
      <c r="B134" s="656"/>
      <c r="C134" s="688"/>
      <c r="D134" s="633"/>
      <c r="E134" s="405" t="s">
        <v>105</v>
      </c>
      <c r="F134" s="403">
        <f t="shared" ref="F134:K134" si="39">SUM(F132:F133)</f>
        <v>838739</v>
      </c>
      <c r="G134" s="403">
        <f t="shared" si="39"/>
        <v>117800</v>
      </c>
      <c r="H134" s="403">
        <f t="shared" si="39"/>
        <v>1500189</v>
      </c>
      <c r="I134" s="403">
        <f t="shared" si="39"/>
        <v>0</v>
      </c>
      <c r="J134" s="403">
        <f t="shared" si="39"/>
        <v>0</v>
      </c>
      <c r="K134" s="404">
        <f t="shared" si="39"/>
        <v>2456728</v>
      </c>
    </row>
    <row r="135" spans="1:11" ht="15.75" customHeight="1" x14ac:dyDescent="0.25">
      <c r="A135" s="683" t="s">
        <v>162</v>
      </c>
      <c r="B135" s="660" t="s">
        <v>323</v>
      </c>
      <c r="C135" s="661" t="s">
        <v>324</v>
      </c>
      <c r="D135" s="631">
        <v>1</v>
      </c>
      <c r="E135" s="90" t="s">
        <v>140</v>
      </c>
      <c r="F135" s="111">
        <v>620000</v>
      </c>
      <c r="G135" s="111">
        <v>72540</v>
      </c>
      <c r="H135" s="111">
        <v>0</v>
      </c>
      <c r="I135" s="111">
        <v>0</v>
      </c>
      <c r="J135" s="117">
        <v>0</v>
      </c>
      <c r="K135" s="113">
        <f>F135+G135+H135+I135+J135</f>
        <v>692540</v>
      </c>
    </row>
    <row r="136" spans="1:11" x14ac:dyDescent="0.25">
      <c r="A136" s="684"/>
      <c r="B136" s="655"/>
      <c r="C136" s="662"/>
      <c r="D136" s="632"/>
      <c r="E136" s="55" t="s">
        <v>141</v>
      </c>
      <c r="F136" s="118">
        <v>657941</v>
      </c>
      <c r="G136" s="118">
        <v>93969</v>
      </c>
      <c r="H136" s="118">
        <v>0</v>
      </c>
      <c r="I136" s="118">
        <v>0</v>
      </c>
      <c r="J136" s="115">
        <v>0</v>
      </c>
      <c r="K136" s="116">
        <f>F136+G136+H136+I136+J136</f>
        <v>751910</v>
      </c>
    </row>
    <row r="137" spans="1:11" ht="16.5" thickBot="1" x14ac:dyDescent="0.3">
      <c r="A137" s="685"/>
      <c r="B137" s="656"/>
      <c r="C137" s="663"/>
      <c r="D137" s="633"/>
      <c r="E137" s="405" t="s">
        <v>105</v>
      </c>
      <c r="F137" s="403">
        <f t="shared" ref="F137:K137" si="40">SUM(F135:F136)</f>
        <v>1277941</v>
      </c>
      <c r="G137" s="403">
        <f t="shared" si="40"/>
        <v>166509</v>
      </c>
      <c r="H137" s="403">
        <f t="shared" si="40"/>
        <v>0</v>
      </c>
      <c r="I137" s="403">
        <f t="shared" si="40"/>
        <v>0</v>
      </c>
      <c r="J137" s="403">
        <f t="shared" si="40"/>
        <v>0</v>
      </c>
      <c r="K137" s="404">
        <f t="shared" si="40"/>
        <v>1444450</v>
      </c>
    </row>
    <row r="138" spans="1:11" ht="15.75" customHeight="1" x14ac:dyDescent="0.25">
      <c r="A138" s="683" t="s">
        <v>165</v>
      </c>
      <c r="B138" s="660" t="s">
        <v>325</v>
      </c>
      <c r="C138" s="661" t="s">
        <v>326</v>
      </c>
      <c r="D138" s="631">
        <v>1</v>
      </c>
      <c r="E138" s="90" t="s">
        <v>140</v>
      </c>
      <c r="F138" s="111">
        <v>2002323</v>
      </c>
      <c r="G138" s="111">
        <v>240000</v>
      </c>
      <c r="H138" s="111">
        <v>10611002</v>
      </c>
      <c r="I138" s="111">
        <v>0</v>
      </c>
      <c r="J138" s="117">
        <v>0</v>
      </c>
      <c r="K138" s="113">
        <f>F138+G138+H138+I138+J138</f>
        <v>12853325</v>
      </c>
    </row>
    <row r="139" spans="1:11" x14ac:dyDescent="0.25">
      <c r="A139" s="684"/>
      <c r="B139" s="655"/>
      <c r="C139" s="662"/>
      <c r="D139" s="632"/>
      <c r="E139" s="55" t="s">
        <v>141</v>
      </c>
      <c r="F139" s="118">
        <v>10861593</v>
      </c>
      <c r="G139" s="118">
        <v>1497521</v>
      </c>
      <c r="H139" s="118">
        <v>8564</v>
      </c>
      <c r="I139" s="118">
        <v>0</v>
      </c>
      <c r="J139" s="115">
        <v>0</v>
      </c>
      <c r="K139" s="116">
        <f>F139+G139+H139+I139+J139</f>
        <v>12367678</v>
      </c>
    </row>
    <row r="140" spans="1:11" ht="16.5" thickBot="1" x14ac:dyDescent="0.3">
      <c r="A140" s="685"/>
      <c r="B140" s="656"/>
      <c r="C140" s="663"/>
      <c r="D140" s="633"/>
      <c r="E140" s="405" t="s">
        <v>105</v>
      </c>
      <c r="F140" s="403">
        <f t="shared" ref="F140:K140" si="41">SUM(F138:F139)</f>
        <v>12863916</v>
      </c>
      <c r="G140" s="403">
        <f t="shared" si="41"/>
        <v>1737521</v>
      </c>
      <c r="H140" s="403">
        <f t="shared" si="41"/>
        <v>10619566</v>
      </c>
      <c r="I140" s="403">
        <f t="shared" si="41"/>
        <v>0</v>
      </c>
      <c r="J140" s="403">
        <f t="shared" si="41"/>
        <v>0</v>
      </c>
      <c r="K140" s="404">
        <f t="shared" si="41"/>
        <v>25221003</v>
      </c>
    </row>
    <row r="141" spans="1:11" ht="15.75" customHeight="1" x14ac:dyDescent="0.25">
      <c r="A141" s="625" t="s">
        <v>166</v>
      </c>
      <c r="B141" s="660" t="s">
        <v>163</v>
      </c>
      <c r="C141" s="649" t="s">
        <v>164</v>
      </c>
      <c r="D141" s="631">
        <v>1</v>
      </c>
      <c r="E141" s="90" t="s">
        <v>140</v>
      </c>
      <c r="F141" s="111">
        <v>0</v>
      </c>
      <c r="G141" s="111">
        <v>0</v>
      </c>
      <c r="H141" s="111">
        <v>0</v>
      </c>
      <c r="I141" s="111">
        <v>0</v>
      </c>
      <c r="J141" s="117">
        <v>0</v>
      </c>
      <c r="K141" s="113">
        <f>F141+G141+H141+I141+J141</f>
        <v>0</v>
      </c>
    </row>
    <row r="142" spans="1:11" x14ac:dyDescent="0.25">
      <c r="A142" s="626"/>
      <c r="B142" s="655"/>
      <c r="C142" s="650"/>
      <c r="D142" s="632"/>
      <c r="E142" s="55" t="s">
        <v>141</v>
      </c>
      <c r="F142" s="118">
        <f>26512+79116</f>
        <v>105628</v>
      </c>
      <c r="G142" s="118">
        <f>4109+12263</f>
        <v>16372</v>
      </c>
      <c r="H142" s="118">
        <v>0</v>
      </c>
      <c r="I142" s="118">
        <v>0</v>
      </c>
      <c r="J142" s="115">
        <v>0</v>
      </c>
      <c r="K142" s="116">
        <f>F142+G142+H142+I142+J142</f>
        <v>122000</v>
      </c>
    </row>
    <row r="143" spans="1:11" ht="16.5" thickBot="1" x14ac:dyDescent="0.3">
      <c r="A143" s="627"/>
      <c r="B143" s="656"/>
      <c r="C143" s="651"/>
      <c r="D143" s="633"/>
      <c r="E143" s="405" t="s">
        <v>105</v>
      </c>
      <c r="F143" s="403">
        <f t="shared" ref="F143:K143" si="42">SUM(F141:F142)</f>
        <v>105628</v>
      </c>
      <c r="G143" s="403">
        <f t="shared" si="42"/>
        <v>16372</v>
      </c>
      <c r="H143" s="403">
        <f t="shared" si="42"/>
        <v>0</v>
      </c>
      <c r="I143" s="403">
        <f t="shared" si="42"/>
        <v>0</v>
      </c>
      <c r="J143" s="403">
        <f t="shared" si="42"/>
        <v>0</v>
      </c>
      <c r="K143" s="404">
        <f t="shared" si="42"/>
        <v>122000</v>
      </c>
    </row>
    <row r="144" spans="1:11" ht="15.75" customHeight="1" x14ac:dyDescent="0.25">
      <c r="A144" s="625" t="s">
        <v>169</v>
      </c>
      <c r="B144" s="660" t="s">
        <v>167</v>
      </c>
      <c r="C144" s="649" t="s">
        <v>168</v>
      </c>
      <c r="D144" s="631">
        <v>1</v>
      </c>
      <c r="E144" s="90" t="s">
        <v>140</v>
      </c>
      <c r="F144" s="111">
        <v>0</v>
      </c>
      <c r="G144" s="111">
        <v>0</v>
      </c>
      <c r="H144" s="111">
        <v>0</v>
      </c>
      <c r="I144" s="111">
        <v>0</v>
      </c>
      <c r="J144" s="117">
        <v>0</v>
      </c>
      <c r="K144" s="113">
        <f>F144+G144+H144+I144+J144</f>
        <v>0</v>
      </c>
    </row>
    <row r="145" spans="1:11" x14ac:dyDescent="0.25">
      <c r="A145" s="626"/>
      <c r="B145" s="655"/>
      <c r="C145" s="650"/>
      <c r="D145" s="632"/>
      <c r="E145" s="55" t="s">
        <v>141</v>
      </c>
      <c r="F145" s="118">
        <f>107965-81453</f>
        <v>26512</v>
      </c>
      <c r="G145" s="118">
        <f>14035-9926</f>
        <v>4109</v>
      </c>
      <c r="H145" s="118">
        <v>0</v>
      </c>
      <c r="I145" s="118">
        <v>0</v>
      </c>
      <c r="J145" s="115">
        <v>0</v>
      </c>
      <c r="K145" s="116">
        <f>F145+G145+H145+I145+J145</f>
        <v>30621</v>
      </c>
    </row>
    <row r="146" spans="1:11" ht="16.5" thickBot="1" x14ac:dyDescent="0.3">
      <c r="A146" s="627"/>
      <c r="B146" s="656"/>
      <c r="C146" s="651"/>
      <c r="D146" s="633"/>
      <c r="E146" s="405" t="s">
        <v>105</v>
      </c>
      <c r="F146" s="403">
        <f t="shared" ref="F146:K146" si="43">SUM(F144:F145)</f>
        <v>26512</v>
      </c>
      <c r="G146" s="403">
        <f t="shared" si="43"/>
        <v>4109</v>
      </c>
      <c r="H146" s="403">
        <f t="shared" si="43"/>
        <v>0</v>
      </c>
      <c r="I146" s="403">
        <f t="shared" si="43"/>
        <v>0</v>
      </c>
      <c r="J146" s="403">
        <f t="shared" si="43"/>
        <v>0</v>
      </c>
      <c r="K146" s="404">
        <f t="shared" si="43"/>
        <v>30621</v>
      </c>
    </row>
    <row r="147" spans="1:11" ht="15.75" customHeight="1" x14ac:dyDescent="0.25">
      <c r="A147" s="625" t="s">
        <v>170</v>
      </c>
      <c r="B147" s="660" t="s">
        <v>189</v>
      </c>
      <c r="C147" s="652" t="s">
        <v>190</v>
      </c>
      <c r="D147" s="631">
        <v>1</v>
      </c>
      <c r="E147" s="90" t="s">
        <v>140</v>
      </c>
      <c r="F147" s="111">
        <f>787402+4394238</f>
        <v>5181640</v>
      </c>
      <c r="G147" s="111">
        <v>0</v>
      </c>
      <c r="H147" s="111">
        <v>1691894</v>
      </c>
      <c r="I147" s="111">
        <f>50000-50000</f>
        <v>0</v>
      </c>
      <c r="J147" s="117">
        <v>0</v>
      </c>
      <c r="K147" s="113">
        <f>F147+G147+H147+I147+J147</f>
        <v>6873534</v>
      </c>
    </row>
    <row r="148" spans="1:11" x14ac:dyDescent="0.25">
      <c r="A148" s="626"/>
      <c r="B148" s="655"/>
      <c r="C148" s="653"/>
      <c r="D148" s="632"/>
      <c r="E148" s="55" t="s">
        <v>141</v>
      </c>
      <c r="F148" s="118">
        <v>500734</v>
      </c>
      <c r="G148" s="118">
        <v>65094</v>
      </c>
      <c r="H148" s="118">
        <v>0</v>
      </c>
      <c r="I148" s="118">
        <v>0</v>
      </c>
      <c r="J148" s="115">
        <v>0</v>
      </c>
      <c r="K148" s="116">
        <f>F148+G148+H148+I148+J148</f>
        <v>565828</v>
      </c>
    </row>
    <row r="149" spans="1:11" ht="16.5" thickBot="1" x14ac:dyDescent="0.3">
      <c r="A149" s="627"/>
      <c r="B149" s="655"/>
      <c r="C149" s="653"/>
      <c r="D149" s="632"/>
      <c r="E149" s="406" t="s">
        <v>105</v>
      </c>
      <c r="F149" s="407">
        <f t="shared" ref="F149:K149" si="44">SUM(F147:F148)</f>
        <v>5682374</v>
      </c>
      <c r="G149" s="407">
        <f t="shared" si="44"/>
        <v>65094</v>
      </c>
      <c r="H149" s="407">
        <f t="shared" si="44"/>
        <v>1691894</v>
      </c>
      <c r="I149" s="407">
        <f t="shared" si="44"/>
        <v>0</v>
      </c>
      <c r="J149" s="407">
        <f t="shared" si="44"/>
        <v>0</v>
      </c>
      <c r="K149" s="408">
        <f t="shared" si="44"/>
        <v>7439362</v>
      </c>
    </row>
    <row r="150" spans="1:11" x14ac:dyDescent="0.25">
      <c r="A150" s="625" t="s">
        <v>185</v>
      </c>
      <c r="B150" s="660" t="s">
        <v>192</v>
      </c>
      <c r="C150" s="652" t="s">
        <v>193</v>
      </c>
      <c r="D150" s="631">
        <v>1</v>
      </c>
      <c r="E150" s="90" t="s">
        <v>140</v>
      </c>
      <c r="F150" s="111">
        <f>787402+10786404</f>
        <v>11573806</v>
      </c>
      <c r="G150" s="111">
        <v>0</v>
      </c>
      <c r="H150" s="111">
        <v>3364677</v>
      </c>
      <c r="I150" s="111">
        <v>0</v>
      </c>
      <c r="J150" s="117">
        <v>0</v>
      </c>
      <c r="K150" s="113">
        <f>F150+G150+H150+I150+J150</f>
        <v>14938483</v>
      </c>
    </row>
    <row r="151" spans="1:11" x14ac:dyDescent="0.25">
      <c r="A151" s="626"/>
      <c r="B151" s="655"/>
      <c r="C151" s="653"/>
      <c r="D151" s="632"/>
      <c r="E151" s="55" t="s">
        <v>141</v>
      </c>
      <c r="F151" s="118">
        <v>568987</v>
      </c>
      <c r="G151" s="118">
        <v>73970</v>
      </c>
      <c r="H151" s="118">
        <v>0</v>
      </c>
      <c r="I151" s="118">
        <v>0</v>
      </c>
      <c r="J151" s="115">
        <v>0</v>
      </c>
      <c r="K151" s="116">
        <f>F151+G151+H151+I151+J151</f>
        <v>642957</v>
      </c>
    </row>
    <row r="152" spans="1:11" ht="16.5" thickBot="1" x14ac:dyDescent="0.3">
      <c r="A152" s="627"/>
      <c r="B152" s="656"/>
      <c r="C152" s="654"/>
      <c r="D152" s="633"/>
      <c r="E152" s="405" t="s">
        <v>105</v>
      </c>
      <c r="F152" s="403">
        <f t="shared" ref="F152:K152" si="45">SUM(F150:F151)</f>
        <v>12142793</v>
      </c>
      <c r="G152" s="403">
        <f t="shared" si="45"/>
        <v>73970</v>
      </c>
      <c r="H152" s="403">
        <f t="shared" si="45"/>
        <v>3364677</v>
      </c>
      <c r="I152" s="403">
        <f t="shared" si="45"/>
        <v>0</v>
      </c>
      <c r="J152" s="403">
        <f t="shared" si="45"/>
        <v>0</v>
      </c>
      <c r="K152" s="404">
        <f t="shared" si="45"/>
        <v>15581440</v>
      </c>
    </row>
    <row r="153" spans="1:11" ht="15.75" customHeight="1" x14ac:dyDescent="0.25">
      <c r="A153" s="625" t="s">
        <v>186</v>
      </c>
      <c r="B153" s="660" t="s">
        <v>195</v>
      </c>
      <c r="C153" s="652" t="s">
        <v>196</v>
      </c>
      <c r="D153" s="631">
        <v>1</v>
      </c>
      <c r="E153" s="90" t="s">
        <v>140</v>
      </c>
      <c r="F153" s="111">
        <f>787402+12162583</f>
        <v>12949985</v>
      </c>
      <c r="G153" s="111">
        <v>0</v>
      </c>
      <c r="H153" s="111">
        <v>3143911</v>
      </c>
      <c r="I153" s="111">
        <v>10500000</v>
      </c>
      <c r="J153" s="117">
        <v>0</v>
      </c>
      <c r="K153" s="113">
        <f>F153+G153+H153+I153+J153</f>
        <v>26593896</v>
      </c>
    </row>
    <row r="154" spans="1:11" x14ac:dyDescent="0.25">
      <c r="A154" s="626"/>
      <c r="B154" s="655"/>
      <c r="C154" s="653"/>
      <c r="D154" s="632"/>
      <c r="E154" s="55" t="s">
        <v>141</v>
      </c>
      <c r="F154" s="118">
        <v>2745165</v>
      </c>
      <c r="G154" s="118">
        <v>361515</v>
      </c>
      <c r="H154" s="118">
        <v>0</v>
      </c>
      <c r="I154" s="118">
        <v>0</v>
      </c>
      <c r="J154" s="115">
        <v>0</v>
      </c>
      <c r="K154" s="116">
        <f>F154+G154+H154+I154+J154</f>
        <v>3106680</v>
      </c>
    </row>
    <row r="155" spans="1:11" ht="16.5" thickBot="1" x14ac:dyDescent="0.3">
      <c r="A155" s="627"/>
      <c r="B155" s="656"/>
      <c r="C155" s="654"/>
      <c r="D155" s="633"/>
      <c r="E155" s="405" t="s">
        <v>105</v>
      </c>
      <c r="F155" s="403">
        <f t="shared" ref="F155:K155" si="46">SUM(F153:F154)</f>
        <v>15695150</v>
      </c>
      <c r="G155" s="403">
        <f t="shared" si="46"/>
        <v>361515</v>
      </c>
      <c r="H155" s="403">
        <f t="shared" si="46"/>
        <v>3143911</v>
      </c>
      <c r="I155" s="403">
        <f t="shared" si="46"/>
        <v>10500000</v>
      </c>
      <c r="J155" s="403">
        <f t="shared" si="46"/>
        <v>0</v>
      </c>
      <c r="K155" s="404">
        <f t="shared" si="46"/>
        <v>29700576</v>
      </c>
    </row>
    <row r="156" spans="1:11" x14ac:dyDescent="0.25">
      <c r="A156" s="625" t="s">
        <v>187</v>
      </c>
      <c r="B156" s="660" t="s">
        <v>198</v>
      </c>
      <c r="C156" s="652" t="s">
        <v>199</v>
      </c>
      <c r="D156" s="631">
        <v>1</v>
      </c>
      <c r="E156" s="90" t="s">
        <v>140</v>
      </c>
      <c r="F156" s="111">
        <f>787402+12854263</f>
        <v>13641665</v>
      </c>
      <c r="G156" s="111">
        <v>0</v>
      </c>
      <c r="H156" s="111">
        <f>15313998-12354263+51267</f>
        <v>3011002</v>
      </c>
      <c r="I156" s="111">
        <f>10500000-500000</f>
        <v>10000000</v>
      </c>
      <c r="J156" s="117">
        <v>0</v>
      </c>
      <c r="K156" s="113">
        <f>F156+G156+H156+I156+J156</f>
        <v>26652667</v>
      </c>
    </row>
    <row r="157" spans="1:11" x14ac:dyDescent="0.25">
      <c r="A157" s="626"/>
      <c r="B157" s="655"/>
      <c r="C157" s="653"/>
      <c r="D157" s="632"/>
      <c r="E157" s="55" t="s">
        <v>141</v>
      </c>
      <c r="F157" s="118">
        <v>2615912</v>
      </c>
      <c r="G157" s="118">
        <v>346142</v>
      </c>
      <c r="H157" s="118">
        <v>0</v>
      </c>
      <c r="I157" s="118">
        <v>0</v>
      </c>
      <c r="J157" s="115">
        <v>0</v>
      </c>
      <c r="K157" s="116">
        <f>F157+G157+H157+I157+J157</f>
        <v>2962054</v>
      </c>
    </row>
    <row r="158" spans="1:11" ht="16.5" thickBot="1" x14ac:dyDescent="0.3">
      <c r="A158" s="627"/>
      <c r="B158" s="656"/>
      <c r="C158" s="654"/>
      <c r="D158" s="633"/>
      <c r="E158" s="405" t="s">
        <v>105</v>
      </c>
      <c r="F158" s="403">
        <f t="shared" ref="F158:K158" si="47">SUM(F156:F157)</f>
        <v>16257577</v>
      </c>
      <c r="G158" s="403">
        <f t="shared" si="47"/>
        <v>346142</v>
      </c>
      <c r="H158" s="403">
        <f t="shared" si="47"/>
        <v>3011002</v>
      </c>
      <c r="I158" s="403">
        <f t="shared" si="47"/>
        <v>10000000</v>
      </c>
      <c r="J158" s="403">
        <f t="shared" si="47"/>
        <v>0</v>
      </c>
      <c r="K158" s="404">
        <f t="shared" si="47"/>
        <v>29614721</v>
      </c>
    </row>
    <row r="159" spans="1:11" x14ac:dyDescent="0.25">
      <c r="A159" s="625" t="s">
        <v>188</v>
      </c>
      <c r="B159" s="655" t="s">
        <v>201</v>
      </c>
      <c r="C159" s="653" t="s">
        <v>202</v>
      </c>
      <c r="D159" s="632">
        <v>1</v>
      </c>
      <c r="E159" s="55" t="s">
        <v>140</v>
      </c>
      <c r="F159" s="111">
        <f>787402+6357852</f>
        <v>7145254</v>
      </c>
      <c r="G159" s="111">
        <v>0</v>
      </c>
      <c r="H159" s="111">
        <v>1961573</v>
      </c>
      <c r="I159" s="111">
        <v>2200000</v>
      </c>
      <c r="J159" s="117">
        <v>0</v>
      </c>
      <c r="K159" s="116">
        <f>F159+G159+H159+I159+J159</f>
        <v>11306827</v>
      </c>
    </row>
    <row r="160" spans="1:11" x14ac:dyDescent="0.25">
      <c r="A160" s="626"/>
      <c r="B160" s="655"/>
      <c r="C160" s="653"/>
      <c r="D160" s="632"/>
      <c r="E160" s="55" t="s">
        <v>141</v>
      </c>
      <c r="F160" s="118">
        <v>1955651</v>
      </c>
      <c r="G160" s="118">
        <v>258118</v>
      </c>
      <c r="H160" s="118">
        <v>0</v>
      </c>
      <c r="I160" s="118">
        <v>0</v>
      </c>
      <c r="J160" s="115">
        <v>0</v>
      </c>
      <c r="K160" s="116">
        <f>F160+G160+H160+I160+J160</f>
        <v>2213769</v>
      </c>
    </row>
    <row r="161" spans="1:11" ht="16.5" thickBot="1" x14ac:dyDescent="0.3">
      <c r="A161" s="627"/>
      <c r="B161" s="655"/>
      <c r="C161" s="653"/>
      <c r="D161" s="632"/>
      <c r="E161" s="406" t="s">
        <v>105</v>
      </c>
      <c r="F161" s="407">
        <f t="shared" ref="F161:K161" si="48">SUM(F159:F160)</f>
        <v>9100905</v>
      </c>
      <c r="G161" s="407">
        <f t="shared" si="48"/>
        <v>258118</v>
      </c>
      <c r="H161" s="407">
        <f t="shared" si="48"/>
        <v>1961573</v>
      </c>
      <c r="I161" s="407">
        <f t="shared" si="48"/>
        <v>2200000</v>
      </c>
      <c r="J161" s="407">
        <f t="shared" si="48"/>
        <v>0</v>
      </c>
      <c r="K161" s="408">
        <f t="shared" si="48"/>
        <v>13520596</v>
      </c>
    </row>
    <row r="162" spans="1:11" x14ac:dyDescent="0.25">
      <c r="A162" s="625" t="s">
        <v>191</v>
      </c>
      <c r="B162" s="660" t="s">
        <v>204</v>
      </c>
      <c r="C162" s="652" t="s">
        <v>205</v>
      </c>
      <c r="D162" s="631">
        <v>1</v>
      </c>
      <c r="E162" s="282" t="s">
        <v>140</v>
      </c>
      <c r="F162" s="112">
        <f>787402+4033505</f>
        <v>4820907</v>
      </c>
      <c r="G162" s="112">
        <v>0</v>
      </c>
      <c r="H162" s="112">
        <v>1480294</v>
      </c>
      <c r="I162" s="112">
        <f>1750000+1750000-50000</f>
        <v>3450000</v>
      </c>
      <c r="J162" s="123">
        <v>0</v>
      </c>
      <c r="K162" s="113">
        <f>F162+G162+H162+I162+J162</f>
        <v>9751201</v>
      </c>
    </row>
    <row r="163" spans="1:11" x14ac:dyDescent="0.25">
      <c r="A163" s="626"/>
      <c r="B163" s="655"/>
      <c r="C163" s="653"/>
      <c r="D163" s="632"/>
      <c r="E163" s="55" t="s">
        <v>141</v>
      </c>
      <c r="F163" s="118">
        <v>1601731</v>
      </c>
      <c r="G163" s="118">
        <v>213858</v>
      </c>
      <c r="H163" s="118">
        <v>0</v>
      </c>
      <c r="I163" s="118">
        <v>0</v>
      </c>
      <c r="J163" s="115">
        <v>0</v>
      </c>
      <c r="K163" s="116">
        <f>F163+G163+H163+I163+J163</f>
        <v>1815589</v>
      </c>
    </row>
    <row r="164" spans="1:11" ht="16.5" thickBot="1" x14ac:dyDescent="0.3">
      <c r="A164" s="627"/>
      <c r="B164" s="656"/>
      <c r="C164" s="654"/>
      <c r="D164" s="633"/>
      <c r="E164" s="405" t="s">
        <v>105</v>
      </c>
      <c r="F164" s="403">
        <f t="shared" ref="F164:K164" si="49">SUM(F162:F163)</f>
        <v>6422638</v>
      </c>
      <c r="G164" s="403">
        <f t="shared" si="49"/>
        <v>213858</v>
      </c>
      <c r="H164" s="403">
        <f t="shared" si="49"/>
        <v>1480294</v>
      </c>
      <c r="I164" s="403">
        <f t="shared" si="49"/>
        <v>3450000</v>
      </c>
      <c r="J164" s="403">
        <f t="shared" si="49"/>
        <v>0</v>
      </c>
      <c r="K164" s="404">
        <f t="shared" si="49"/>
        <v>11566790</v>
      </c>
    </row>
    <row r="165" spans="1:11" ht="15.75" customHeight="1" x14ac:dyDescent="0.25">
      <c r="A165" s="625" t="s">
        <v>194</v>
      </c>
      <c r="B165" s="655" t="s">
        <v>207</v>
      </c>
      <c r="C165" s="653" t="s">
        <v>208</v>
      </c>
      <c r="D165" s="632">
        <v>1</v>
      </c>
      <c r="E165" s="126" t="s">
        <v>140</v>
      </c>
      <c r="F165" s="112">
        <f>787402+12673808</f>
        <v>13461210</v>
      </c>
      <c r="G165" s="112">
        <v>0</v>
      </c>
      <c r="H165" s="112">
        <v>2198436</v>
      </c>
      <c r="I165" s="112">
        <v>5380000</v>
      </c>
      <c r="J165" s="123">
        <v>0</v>
      </c>
      <c r="K165" s="116">
        <f>F165+G165+H165+I165+J165</f>
        <v>21039646</v>
      </c>
    </row>
    <row r="166" spans="1:11" x14ac:dyDescent="0.25">
      <c r="A166" s="626"/>
      <c r="B166" s="655"/>
      <c r="C166" s="653"/>
      <c r="D166" s="632"/>
      <c r="E166" s="55" t="s">
        <v>141</v>
      </c>
      <c r="F166" s="118">
        <v>721731</v>
      </c>
      <c r="G166" s="118">
        <v>95909</v>
      </c>
      <c r="H166" s="118">
        <v>0</v>
      </c>
      <c r="I166" s="118">
        <v>0</v>
      </c>
      <c r="J166" s="115">
        <v>0</v>
      </c>
      <c r="K166" s="116">
        <f>F166+G166+H166+I166+J166</f>
        <v>817640</v>
      </c>
    </row>
    <row r="167" spans="1:11" ht="16.5" thickBot="1" x14ac:dyDescent="0.3">
      <c r="A167" s="627"/>
      <c r="B167" s="656"/>
      <c r="C167" s="654"/>
      <c r="D167" s="633"/>
      <c r="E167" s="405" t="s">
        <v>105</v>
      </c>
      <c r="F167" s="403">
        <f t="shared" ref="F167:K167" si="50">SUM(F165:F166)</f>
        <v>14182941</v>
      </c>
      <c r="G167" s="403">
        <f t="shared" si="50"/>
        <v>95909</v>
      </c>
      <c r="H167" s="403">
        <f t="shared" si="50"/>
        <v>2198436</v>
      </c>
      <c r="I167" s="403">
        <f t="shared" si="50"/>
        <v>5380000</v>
      </c>
      <c r="J167" s="403">
        <f t="shared" si="50"/>
        <v>0</v>
      </c>
      <c r="K167" s="404">
        <f t="shared" si="50"/>
        <v>21857286</v>
      </c>
    </row>
    <row r="168" spans="1:11" ht="15.75" customHeight="1" x14ac:dyDescent="0.25">
      <c r="A168" s="625" t="s">
        <v>197</v>
      </c>
      <c r="B168" s="660" t="s">
        <v>211</v>
      </c>
      <c r="C168" s="652" t="s">
        <v>212</v>
      </c>
      <c r="D168" s="632">
        <v>1</v>
      </c>
      <c r="E168" s="55" t="s">
        <v>140</v>
      </c>
      <c r="F168" s="111">
        <f>787402+9388184</f>
        <v>10175586</v>
      </c>
      <c r="G168" s="111">
        <v>0</v>
      </c>
      <c r="H168" s="111">
        <v>2458018</v>
      </c>
      <c r="I168" s="111">
        <f>7500000-650000</f>
        <v>6850000</v>
      </c>
      <c r="J168" s="117">
        <v>0</v>
      </c>
      <c r="K168" s="116">
        <f>F168+G168+H168+I168+J168</f>
        <v>19483604</v>
      </c>
    </row>
    <row r="169" spans="1:11" x14ac:dyDescent="0.25">
      <c r="A169" s="626"/>
      <c r="B169" s="655"/>
      <c r="C169" s="653"/>
      <c r="D169" s="632"/>
      <c r="E169" s="55" t="s">
        <v>141</v>
      </c>
      <c r="F169" s="118">
        <v>2168233</v>
      </c>
      <c r="G169" s="118">
        <v>285559</v>
      </c>
      <c r="H169" s="118">
        <v>0</v>
      </c>
      <c r="I169" s="118">
        <v>0</v>
      </c>
      <c r="J169" s="115">
        <v>0</v>
      </c>
      <c r="K169" s="116">
        <f>F169+G169+H169+I169+J169</f>
        <v>2453792</v>
      </c>
    </row>
    <row r="170" spans="1:11" ht="16.5" thickBot="1" x14ac:dyDescent="0.3">
      <c r="A170" s="627"/>
      <c r="B170" s="656"/>
      <c r="C170" s="654"/>
      <c r="D170" s="633"/>
      <c r="E170" s="405" t="s">
        <v>105</v>
      </c>
      <c r="F170" s="403">
        <f t="shared" ref="F170:K170" si="51">SUM(F168:F169)</f>
        <v>12343819</v>
      </c>
      <c r="G170" s="403">
        <f t="shared" si="51"/>
        <v>285559</v>
      </c>
      <c r="H170" s="403">
        <f t="shared" si="51"/>
        <v>2458018</v>
      </c>
      <c r="I170" s="403">
        <f t="shared" si="51"/>
        <v>6850000</v>
      </c>
      <c r="J170" s="403">
        <f t="shared" si="51"/>
        <v>0</v>
      </c>
      <c r="K170" s="404">
        <f t="shared" si="51"/>
        <v>21937396</v>
      </c>
    </row>
    <row r="171" spans="1:11" x14ac:dyDescent="0.25">
      <c r="A171" s="692" t="s">
        <v>109</v>
      </c>
      <c r="B171" s="693"/>
      <c r="C171" s="693"/>
      <c r="D171" s="694"/>
      <c r="E171" s="331" t="s">
        <v>140</v>
      </c>
      <c r="F171" s="332">
        <f>F96+F99+F102+F105+F108+F111+F114+F117+F120+F123+F126+F129+F132+F135+F138+F141+F144+F147+F150+F153+F156+F159+F162+F165+F168</f>
        <v>111985902</v>
      </c>
      <c r="G171" s="332">
        <f t="shared" ref="G171:K172" si="52">G96+G99+G102+G105+G108+G111+G114+G117+G120+G123+G126+G129+G132+G135+G138+G141+G144+G147+G150+G153+G156+G159+G162+G165+G168</f>
        <v>2715885</v>
      </c>
      <c r="H171" s="332">
        <f t="shared" si="52"/>
        <v>324953257</v>
      </c>
      <c r="I171" s="332">
        <f t="shared" si="52"/>
        <v>48380000</v>
      </c>
      <c r="J171" s="332">
        <f t="shared" si="52"/>
        <v>185212697</v>
      </c>
      <c r="K171" s="333">
        <f t="shared" si="52"/>
        <v>673247741</v>
      </c>
    </row>
    <row r="172" spans="1:11" x14ac:dyDescent="0.25">
      <c r="A172" s="695"/>
      <c r="B172" s="696"/>
      <c r="C172" s="696"/>
      <c r="D172" s="697"/>
      <c r="E172" s="334" t="s">
        <v>141</v>
      </c>
      <c r="F172" s="335">
        <f>F97+F100+F103+F106+F109+F112+F115+F118+F121+F124+F127+F130+F133+F136+F139+F142+F145+F148+F151+F154+F157+F160+F163+F166+F169</f>
        <v>144669013</v>
      </c>
      <c r="G172" s="335">
        <f t="shared" si="52"/>
        <v>19580182</v>
      </c>
      <c r="H172" s="335">
        <f t="shared" si="52"/>
        <v>754462</v>
      </c>
      <c r="I172" s="335">
        <f t="shared" si="52"/>
        <v>0</v>
      </c>
      <c r="J172" s="335">
        <f t="shared" si="52"/>
        <v>0</v>
      </c>
      <c r="K172" s="336">
        <f t="shared" si="52"/>
        <v>165003657</v>
      </c>
    </row>
    <row r="173" spans="1:11" ht="16.5" thickBot="1" x14ac:dyDescent="0.3">
      <c r="A173" s="698"/>
      <c r="B173" s="699"/>
      <c r="C173" s="699"/>
      <c r="D173" s="700"/>
      <c r="E173" s="337" t="s">
        <v>105</v>
      </c>
      <c r="F173" s="338">
        <f t="shared" ref="F173:K173" si="53">SUM(F171:F172)</f>
        <v>256654915</v>
      </c>
      <c r="G173" s="338">
        <f t="shared" si="53"/>
        <v>22296067</v>
      </c>
      <c r="H173" s="338">
        <f t="shared" si="53"/>
        <v>325707719</v>
      </c>
      <c r="I173" s="338">
        <f t="shared" si="53"/>
        <v>48380000</v>
      </c>
      <c r="J173" s="338">
        <f t="shared" si="53"/>
        <v>185212697</v>
      </c>
      <c r="K173" s="339">
        <f t="shared" si="53"/>
        <v>838251398</v>
      </c>
    </row>
  </sheetData>
  <mergeCells count="228">
    <mergeCell ref="A168:A170"/>
    <mergeCell ref="B168:B170"/>
    <mergeCell ref="C168:C170"/>
    <mergeCell ref="D168:D170"/>
    <mergeCell ref="A171:D173"/>
    <mergeCell ref="A162:A164"/>
    <mergeCell ref="B162:B164"/>
    <mergeCell ref="C162:C164"/>
    <mergeCell ref="D162:D164"/>
    <mergeCell ref="A165:A167"/>
    <mergeCell ref="B165:B167"/>
    <mergeCell ref="C165:C167"/>
    <mergeCell ref="D165:D167"/>
    <mergeCell ref="A156:A158"/>
    <mergeCell ref="B156:B158"/>
    <mergeCell ref="C156:C158"/>
    <mergeCell ref="D156:D158"/>
    <mergeCell ref="A159:A161"/>
    <mergeCell ref="B159:B161"/>
    <mergeCell ref="C159:C161"/>
    <mergeCell ref="D159:D161"/>
    <mergeCell ref="A150:A152"/>
    <mergeCell ref="B150:B152"/>
    <mergeCell ref="C150:C152"/>
    <mergeCell ref="D150:D152"/>
    <mergeCell ref="A153:A155"/>
    <mergeCell ref="B153:B155"/>
    <mergeCell ref="C153:C155"/>
    <mergeCell ref="D153:D155"/>
    <mergeCell ref="A144:A146"/>
    <mergeCell ref="B144:B146"/>
    <mergeCell ref="C144:C146"/>
    <mergeCell ref="D144:D146"/>
    <mergeCell ref="A147:A149"/>
    <mergeCell ref="B147:B149"/>
    <mergeCell ref="C147:C149"/>
    <mergeCell ref="D147:D149"/>
    <mergeCell ref="A138:A140"/>
    <mergeCell ref="B138:B140"/>
    <mergeCell ref="C138:C140"/>
    <mergeCell ref="D138:D140"/>
    <mergeCell ref="A141:A143"/>
    <mergeCell ref="B141:B143"/>
    <mergeCell ref="C141:C143"/>
    <mergeCell ref="D141:D143"/>
    <mergeCell ref="A132:A134"/>
    <mergeCell ref="B132:B134"/>
    <mergeCell ref="C132:C134"/>
    <mergeCell ref="D132:D134"/>
    <mergeCell ref="A135:A137"/>
    <mergeCell ref="B135:B137"/>
    <mergeCell ref="C135:C137"/>
    <mergeCell ref="D135:D137"/>
    <mergeCell ref="A126:A128"/>
    <mergeCell ref="B126:B128"/>
    <mergeCell ref="C126:C128"/>
    <mergeCell ref="D126:D128"/>
    <mergeCell ref="A129:A131"/>
    <mergeCell ref="B129:B131"/>
    <mergeCell ref="C129:C131"/>
    <mergeCell ref="D129:D131"/>
    <mergeCell ref="A120:A122"/>
    <mergeCell ref="B120:B122"/>
    <mergeCell ref="C120:C122"/>
    <mergeCell ref="D120:D122"/>
    <mergeCell ref="A123:A125"/>
    <mergeCell ref="B123:B125"/>
    <mergeCell ref="C123:C125"/>
    <mergeCell ref="D123:D125"/>
    <mergeCell ref="A114:A116"/>
    <mergeCell ref="B114:B116"/>
    <mergeCell ref="C114:C116"/>
    <mergeCell ref="D114:D116"/>
    <mergeCell ref="A117:A119"/>
    <mergeCell ref="B117:B119"/>
    <mergeCell ref="C117:C119"/>
    <mergeCell ref="D117:D119"/>
    <mergeCell ref="A108:A110"/>
    <mergeCell ref="B108:B110"/>
    <mergeCell ref="C108:C110"/>
    <mergeCell ref="D108:D110"/>
    <mergeCell ref="A111:A113"/>
    <mergeCell ref="B111:B113"/>
    <mergeCell ref="C111:C113"/>
    <mergeCell ref="D111:D113"/>
    <mergeCell ref="A102:A104"/>
    <mergeCell ref="B102:B104"/>
    <mergeCell ref="C102:C104"/>
    <mergeCell ref="D102:D104"/>
    <mergeCell ref="A105:A107"/>
    <mergeCell ref="B105:B107"/>
    <mergeCell ref="C105:C107"/>
    <mergeCell ref="D105:D107"/>
    <mergeCell ref="A96:A98"/>
    <mergeCell ref="B96:B98"/>
    <mergeCell ref="C96:C98"/>
    <mergeCell ref="D96:D98"/>
    <mergeCell ref="A99:A101"/>
    <mergeCell ref="B99:B101"/>
    <mergeCell ref="C99:C101"/>
    <mergeCell ref="D99:D101"/>
    <mergeCell ref="J91:K91"/>
    <mergeCell ref="A92:A95"/>
    <mergeCell ref="B92:D93"/>
    <mergeCell ref="E92:K92"/>
    <mergeCell ref="E93:K93"/>
    <mergeCell ref="B94:B95"/>
    <mergeCell ref="C94:C95"/>
    <mergeCell ref="D94:D95"/>
    <mergeCell ref="E94:E95"/>
    <mergeCell ref="F94:K94"/>
    <mergeCell ref="A90:G90"/>
    <mergeCell ref="A84:A86"/>
    <mergeCell ref="B84:B86"/>
    <mergeCell ref="C84:C86"/>
    <mergeCell ref="D84:D86"/>
    <mergeCell ref="A87:D89"/>
    <mergeCell ref="A78:A80"/>
    <mergeCell ref="B78:B80"/>
    <mergeCell ref="C78:C80"/>
    <mergeCell ref="D78:D80"/>
    <mergeCell ref="A81:A83"/>
    <mergeCell ref="B81:B83"/>
    <mergeCell ref="C81:C83"/>
    <mergeCell ref="D81:D83"/>
    <mergeCell ref="A72:A74"/>
    <mergeCell ref="B72:B74"/>
    <mergeCell ref="C72:C74"/>
    <mergeCell ref="D72:D74"/>
    <mergeCell ref="A75:A77"/>
    <mergeCell ref="B75:B77"/>
    <mergeCell ref="C75:C77"/>
    <mergeCell ref="D75:D77"/>
    <mergeCell ref="A66:A68"/>
    <mergeCell ref="B66:B68"/>
    <mergeCell ref="C66:C68"/>
    <mergeCell ref="D66:D68"/>
    <mergeCell ref="A69:A71"/>
    <mergeCell ref="B69:B71"/>
    <mergeCell ref="C69:C71"/>
    <mergeCell ref="D69:D71"/>
    <mergeCell ref="A60:A62"/>
    <mergeCell ref="B60:B62"/>
    <mergeCell ref="C60:C62"/>
    <mergeCell ref="D60:D62"/>
    <mergeCell ref="A63:A65"/>
    <mergeCell ref="B63:B65"/>
    <mergeCell ref="C63:C65"/>
    <mergeCell ref="D63:D65"/>
    <mergeCell ref="A54:A56"/>
    <mergeCell ref="B54:B56"/>
    <mergeCell ref="C54:C56"/>
    <mergeCell ref="D54:D56"/>
    <mergeCell ref="A57:A59"/>
    <mergeCell ref="B57:B59"/>
    <mergeCell ref="C57:C59"/>
    <mergeCell ref="D57:D59"/>
    <mergeCell ref="A48:A50"/>
    <mergeCell ref="B48:B50"/>
    <mergeCell ref="C48:C50"/>
    <mergeCell ref="D48:D50"/>
    <mergeCell ref="A51:A53"/>
    <mergeCell ref="B51:B53"/>
    <mergeCell ref="C51:C53"/>
    <mergeCell ref="D51:D53"/>
    <mergeCell ref="A42:A44"/>
    <mergeCell ref="B42:B44"/>
    <mergeCell ref="C42:C44"/>
    <mergeCell ref="D42:D44"/>
    <mergeCell ref="A45:A47"/>
    <mergeCell ref="B45:B47"/>
    <mergeCell ref="C45:C47"/>
    <mergeCell ref="D45:D47"/>
    <mergeCell ref="A36:A38"/>
    <mergeCell ref="B36:B38"/>
    <mergeCell ref="C36:C38"/>
    <mergeCell ref="D36:D38"/>
    <mergeCell ref="A39:A41"/>
    <mergeCell ref="B39:B41"/>
    <mergeCell ref="C39:C41"/>
    <mergeCell ref="D39:D41"/>
    <mergeCell ref="A30:A32"/>
    <mergeCell ref="B30:B32"/>
    <mergeCell ref="C30:C32"/>
    <mergeCell ref="D30:D32"/>
    <mergeCell ref="A33:A35"/>
    <mergeCell ref="B33:B35"/>
    <mergeCell ref="C33:C35"/>
    <mergeCell ref="D33:D35"/>
    <mergeCell ref="A24:A26"/>
    <mergeCell ref="B24:B26"/>
    <mergeCell ref="C24:C26"/>
    <mergeCell ref="D24:D26"/>
    <mergeCell ref="A27:A29"/>
    <mergeCell ref="B27:B29"/>
    <mergeCell ref="C27:C29"/>
    <mergeCell ref="D27:D29"/>
    <mergeCell ref="A18:A20"/>
    <mergeCell ref="B18:B20"/>
    <mergeCell ref="C18:C20"/>
    <mergeCell ref="D18:D20"/>
    <mergeCell ref="A21:A23"/>
    <mergeCell ref="B21:B23"/>
    <mergeCell ref="C21:C23"/>
    <mergeCell ref="D21:D23"/>
    <mergeCell ref="A12:A14"/>
    <mergeCell ref="B12:B14"/>
    <mergeCell ref="C12:C14"/>
    <mergeCell ref="D12:D14"/>
    <mergeCell ref="A15:A17"/>
    <mergeCell ref="B15:B17"/>
    <mergeCell ref="C15:C17"/>
    <mergeCell ref="D15:D17"/>
    <mergeCell ref="E1:K1"/>
    <mergeCell ref="A3:K3"/>
    <mergeCell ref="A4:K4"/>
    <mergeCell ref="A5:K5"/>
    <mergeCell ref="A6:K6"/>
    <mergeCell ref="J7:K7"/>
    <mergeCell ref="A8:A11"/>
    <mergeCell ref="B8:D9"/>
    <mergeCell ref="E8:K8"/>
    <mergeCell ref="E9:K9"/>
    <mergeCell ref="B10:B11"/>
    <mergeCell ref="C10:C11"/>
    <mergeCell ref="D10:D11"/>
    <mergeCell ref="E10:E11"/>
    <mergeCell ref="F10:K10"/>
  </mergeCells>
  <printOptions horizontalCentered="1"/>
  <pageMargins left="0.11811023622047245" right="0.11811023622047245" top="0.39370078740157483" bottom="0.39370078740157483" header="0.31496062992125984" footer="0.31496062992125984"/>
  <pageSetup paperSize="9" scale="81" orientation="landscape" r:id="rId1"/>
  <rowBreaks count="3" manualBreakCount="3">
    <brk id="41" max="16383" man="1"/>
    <brk id="80" max="16383" man="1"/>
    <brk id="11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0.59999389629810485"/>
  </sheetPr>
  <dimension ref="A1:H21"/>
  <sheetViews>
    <sheetView zoomScaleNormal="100" workbookViewId="0">
      <selection activeCell="J6" sqref="J6"/>
    </sheetView>
  </sheetViews>
  <sheetFormatPr defaultRowHeight="15.75" x14ac:dyDescent="0.25"/>
  <cols>
    <col min="1" max="1" width="5.42578125" style="63" customWidth="1"/>
    <col min="2" max="2" width="90.28515625" style="75" customWidth="1"/>
    <col min="3" max="4" width="12.42578125" style="66" customWidth="1"/>
    <col min="5" max="5" width="11.5703125" style="64" customWidth="1"/>
    <col min="6" max="6" width="10.5703125" style="64" customWidth="1"/>
    <col min="7" max="249" width="9.140625" style="64"/>
    <col min="250" max="250" width="5.42578125" style="64" customWidth="1"/>
    <col min="251" max="251" width="90.28515625" style="64" customWidth="1"/>
    <col min="252" max="253" width="12.42578125" style="64" customWidth="1"/>
    <col min="254" max="254" width="11.5703125" style="64" customWidth="1"/>
    <col min="255" max="255" width="12.7109375" style="64" customWidth="1"/>
    <col min="256" max="505" width="9.140625" style="64"/>
    <col min="506" max="506" width="5.42578125" style="64" customWidth="1"/>
    <col min="507" max="507" width="90.28515625" style="64" customWidth="1"/>
    <col min="508" max="509" width="12.42578125" style="64" customWidth="1"/>
    <col min="510" max="510" width="11.5703125" style="64" customWidth="1"/>
    <col min="511" max="511" width="12.7109375" style="64" customWidth="1"/>
    <col min="512" max="761" width="9.140625" style="64"/>
    <col min="762" max="762" width="5.42578125" style="64" customWidth="1"/>
    <col min="763" max="763" width="90.28515625" style="64" customWidth="1"/>
    <col min="764" max="765" width="12.42578125" style="64" customWidth="1"/>
    <col min="766" max="766" width="11.5703125" style="64" customWidth="1"/>
    <col min="767" max="767" width="12.7109375" style="64" customWidth="1"/>
    <col min="768" max="1017" width="9.140625" style="64"/>
    <col min="1018" max="1018" width="5.42578125" style="64" customWidth="1"/>
    <col min="1019" max="1019" width="90.28515625" style="64" customWidth="1"/>
    <col min="1020" max="1021" width="12.42578125" style="64" customWidth="1"/>
    <col min="1022" max="1022" width="11.5703125" style="64" customWidth="1"/>
    <col min="1023" max="1023" width="12.7109375" style="64" customWidth="1"/>
    <col min="1024" max="1273" width="9.140625" style="64"/>
    <col min="1274" max="1274" width="5.42578125" style="64" customWidth="1"/>
    <col min="1275" max="1275" width="90.28515625" style="64" customWidth="1"/>
    <col min="1276" max="1277" width="12.42578125" style="64" customWidth="1"/>
    <col min="1278" max="1278" width="11.5703125" style="64" customWidth="1"/>
    <col min="1279" max="1279" width="12.7109375" style="64" customWidth="1"/>
    <col min="1280" max="1529" width="9.140625" style="64"/>
    <col min="1530" max="1530" width="5.42578125" style="64" customWidth="1"/>
    <col min="1531" max="1531" width="90.28515625" style="64" customWidth="1"/>
    <col min="1532" max="1533" width="12.42578125" style="64" customWidth="1"/>
    <col min="1534" max="1534" width="11.5703125" style="64" customWidth="1"/>
    <col min="1535" max="1535" width="12.7109375" style="64" customWidth="1"/>
    <col min="1536" max="1785" width="9.140625" style="64"/>
    <col min="1786" max="1786" width="5.42578125" style="64" customWidth="1"/>
    <col min="1787" max="1787" width="90.28515625" style="64" customWidth="1"/>
    <col min="1788" max="1789" width="12.42578125" style="64" customWidth="1"/>
    <col min="1790" max="1790" width="11.5703125" style="64" customWidth="1"/>
    <col min="1791" max="1791" width="12.7109375" style="64" customWidth="1"/>
    <col min="1792" max="2041" width="9.140625" style="64"/>
    <col min="2042" max="2042" width="5.42578125" style="64" customWidth="1"/>
    <col min="2043" max="2043" width="90.28515625" style="64" customWidth="1"/>
    <col min="2044" max="2045" width="12.42578125" style="64" customWidth="1"/>
    <col min="2046" max="2046" width="11.5703125" style="64" customWidth="1"/>
    <col min="2047" max="2047" width="12.7109375" style="64" customWidth="1"/>
    <col min="2048" max="2297" width="9.140625" style="64"/>
    <col min="2298" max="2298" width="5.42578125" style="64" customWidth="1"/>
    <col min="2299" max="2299" width="90.28515625" style="64" customWidth="1"/>
    <col min="2300" max="2301" width="12.42578125" style="64" customWidth="1"/>
    <col min="2302" max="2302" width="11.5703125" style="64" customWidth="1"/>
    <col min="2303" max="2303" width="12.7109375" style="64" customWidth="1"/>
    <col min="2304" max="2553" width="9.140625" style="64"/>
    <col min="2554" max="2554" width="5.42578125" style="64" customWidth="1"/>
    <col min="2555" max="2555" width="90.28515625" style="64" customWidth="1"/>
    <col min="2556" max="2557" width="12.42578125" style="64" customWidth="1"/>
    <col min="2558" max="2558" width="11.5703125" style="64" customWidth="1"/>
    <col min="2559" max="2559" width="12.7109375" style="64" customWidth="1"/>
    <col min="2560" max="2809" width="9.140625" style="64"/>
    <col min="2810" max="2810" width="5.42578125" style="64" customWidth="1"/>
    <col min="2811" max="2811" width="90.28515625" style="64" customWidth="1"/>
    <col min="2812" max="2813" width="12.42578125" style="64" customWidth="1"/>
    <col min="2814" max="2814" width="11.5703125" style="64" customWidth="1"/>
    <col min="2815" max="2815" width="12.7109375" style="64" customWidth="1"/>
    <col min="2816" max="3065" width="9.140625" style="64"/>
    <col min="3066" max="3066" width="5.42578125" style="64" customWidth="1"/>
    <col min="3067" max="3067" width="90.28515625" style="64" customWidth="1"/>
    <col min="3068" max="3069" width="12.42578125" style="64" customWidth="1"/>
    <col min="3070" max="3070" width="11.5703125" style="64" customWidth="1"/>
    <col min="3071" max="3071" width="12.7109375" style="64" customWidth="1"/>
    <col min="3072" max="3321" width="9.140625" style="64"/>
    <col min="3322" max="3322" width="5.42578125" style="64" customWidth="1"/>
    <col min="3323" max="3323" width="90.28515625" style="64" customWidth="1"/>
    <col min="3324" max="3325" width="12.42578125" style="64" customWidth="1"/>
    <col min="3326" max="3326" width="11.5703125" style="64" customWidth="1"/>
    <col min="3327" max="3327" width="12.7109375" style="64" customWidth="1"/>
    <col min="3328" max="3577" width="9.140625" style="64"/>
    <col min="3578" max="3578" width="5.42578125" style="64" customWidth="1"/>
    <col min="3579" max="3579" width="90.28515625" style="64" customWidth="1"/>
    <col min="3580" max="3581" width="12.42578125" style="64" customWidth="1"/>
    <col min="3582" max="3582" width="11.5703125" style="64" customWidth="1"/>
    <col min="3583" max="3583" width="12.7109375" style="64" customWidth="1"/>
    <col min="3584" max="3833" width="9.140625" style="64"/>
    <col min="3834" max="3834" width="5.42578125" style="64" customWidth="1"/>
    <col min="3835" max="3835" width="90.28515625" style="64" customWidth="1"/>
    <col min="3836" max="3837" width="12.42578125" style="64" customWidth="1"/>
    <col min="3838" max="3838" width="11.5703125" style="64" customWidth="1"/>
    <col min="3839" max="3839" width="12.7109375" style="64" customWidth="1"/>
    <col min="3840" max="4089" width="9.140625" style="64"/>
    <col min="4090" max="4090" width="5.42578125" style="64" customWidth="1"/>
    <col min="4091" max="4091" width="90.28515625" style="64" customWidth="1"/>
    <col min="4092" max="4093" width="12.42578125" style="64" customWidth="1"/>
    <col min="4094" max="4094" width="11.5703125" style="64" customWidth="1"/>
    <col min="4095" max="4095" width="12.7109375" style="64" customWidth="1"/>
    <col min="4096" max="4345" width="9.140625" style="64"/>
    <col min="4346" max="4346" width="5.42578125" style="64" customWidth="1"/>
    <col min="4347" max="4347" width="90.28515625" style="64" customWidth="1"/>
    <col min="4348" max="4349" width="12.42578125" style="64" customWidth="1"/>
    <col min="4350" max="4350" width="11.5703125" style="64" customWidth="1"/>
    <col min="4351" max="4351" width="12.7109375" style="64" customWidth="1"/>
    <col min="4352" max="4601" width="9.140625" style="64"/>
    <col min="4602" max="4602" width="5.42578125" style="64" customWidth="1"/>
    <col min="4603" max="4603" width="90.28515625" style="64" customWidth="1"/>
    <col min="4604" max="4605" width="12.42578125" style="64" customWidth="1"/>
    <col min="4606" max="4606" width="11.5703125" style="64" customWidth="1"/>
    <col min="4607" max="4607" width="12.7109375" style="64" customWidth="1"/>
    <col min="4608" max="4857" width="9.140625" style="64"/>
    <col min="4858" max="4858" width="5.42578125" style="64" customWidth="1"/>
    <col min="4859" max="4859" width="90.28515625" style="64" customWidth="1"/>
    <col min="4860" max="4861" width="12.42578125" style="64" customWidth="1"/>
    <col min="4862" max="4862" width="11.5703125" style="64" customWidth="1"/>
    <col min="4863" max="4863" width="12.7109375" style="64" customWidth="1"/>
    <col min="4864" max="5113" width="9.140625" style="64"/>
    <col min="5114" max="5114" width="5.42578125" style="64" customWidth="1"/>
    <col min="5115" max="5115" width="90.28515625" style="64" customWidth="1"/>
    <col min="5116" max="5117" width="12.42578125" style="64" customWidth="1"/>
    <col min="5118" max="5118" width="11.5703125" style="64" customWidth="1"/>
    <col min="5119" max="5119" width="12.7109375" style="64" customWidth="1"/>
    <col min="5120" max="5369" width="9.140625" style="64"/>
    <col min="5370" max="5370" width="5.42578125" style="64" customWidth="1"/>
    <col min="5371" max="5371" width="90.28515625" style="64" customWidth="1"/>
    <col min="5372" max="5373" width="12.42578125" style="64" customWidth="1"/>
    <col min="5374" max="5374" width="11.5703125" style="64" customWidth="1"/>
    <col min="5375" max="5375" width="12.7109375" style="64" customWidth="1"/>
    <col min="5376" max="5625" width="9.140625" style="64"/>
    <col min="5626" max="5626" width="5.42578125" style="64" customWidth="1"/>
    <col min="5627" max="5627" width="90.28515625" style="64" customWidth="1"/>
    <col min="5628" max="5629" width="12.42578125" style="64" customWidth="1"/>
    <col min="5630" max="5630" width="11.5703125" style="64" customWidth="1"/>
    <col min="5631" max="5631" width="12.7109375" style="64" customWidth="1"/>
    <col min="5632" max="5881" width="9.140625" style="64"/>
    <col min="5882" max="5882" width="5.42578125" style="64" customWidth="1"/>
    <col min="5883" max="5883" width="90.28515625" style="64" customWidth="1"/>
    <col min="5884" max="5885" width="12.42578125" style="64" customWidth="1"/>
    <col min="5886" max="5886" width="11.5703125" style="64" customWidth="1"/>
    <col min="5887" max="5887" width="12.7109375" style="64" customWidth="1"/>
    <col min="5888" max="6137" width="9.140625" style="64"/>
    <col min="6138" max="6138" width="5.42578125" style="64" customWidth="1"/>
    <col min="6139" max="6139" width="90.28515625" style="64" customWidth="1"/>
    <col min="6140" max="6141" width="12.42578125" style="64" customWidth="1"/>
    <col min="6142" max="6142" width="11.5703125" style="64" customWidth="1"/>
    <col min="6143" max="6143" width="12.7109375" style="64" customWidth="1"/>
    <col min="6144" max="6393" width="9.140625" style="64"/>
    <col min="6394" max="6394" width="5.42578125" style="64" customWidth="1"/>
    <col min="6395" max="6395" width="90.28515625" style="64" customWidth="1"/>
    <col min="6396" max="6397" width="12.42578125" style="64" customWidth="1"/>
    <col min="6398" max="6398" width="11.5703125" style="64" customWidth="1"/>
    <col min="6399" max="6399" width="12.7109375" style="64" customWidth="1"/>
    <col min="6400" max="6649" width="9.140625" style="64"/>
    <col min="6650" max="6650" width="5.42578125" style="64" customWidth="1"/>
    <col min="6651" max="6651" width="90.28515625" style="64" customWidth="1"/>
    <col min="6652" max="6653" width="12.42578125" style="64" customWidth="1"/>
    <col min="6654" max="6654" width="11.5703125" style="64" customWidth="1"/>
    <col min="6655" max="6655" width="12.7109375" style="64" customWidth="1"/>
    <col min="6656" max="6905" width="9.140625" style="64"/>
    <col min="6906" max="6906" width="5.42578125" style="64" customWidth="1"/>
    <col min="6907" max="6907" width="90.28515625" style="64" customWidth="1"/>
    <col min="6908" max="6909" width="12.42578125" style="64" customWidth="1"/>
    <col min="6910" max="6910" width="11.5703125" style="64" customWidth="1"/>
    <col min="6911" max="6911" width="12.7109375" style="64" customWidth="1"/>
    <col min="6912" max="7161" width="9.140625" style="64"/>
    <col min="7162" max="7162" width="5.42578125" style="64" customWidth="1"/>
    <col min="7163" max="7163" width="90.28515625" style="64" customWidth="1"/>
    <col min="7164" max="7165" width="12.42578125" style="64" customWidth="1"/>
    <col min="7166" max="7166" width="11.5703125" style="64" customWidth="1"/>
    <col min="7167" max="7167" width="12.7109375" style="64" customWidth="1"/>
    <col min="7168" max="7417" width="9.140625" style="64"/>
    <col min="7418" max="7418" width="5.42578125" style="64" customWidth="1"/>
    <col min="7419" max="7419" width="90.28515625" style="64" customWidth="1"/>
    <col min="7420" max="7421" width="12.42578125" style="64" customWidth="1"/>
    <col min="7422" max="7422" width="11.5703125" style="64" customWidth="1"/>
    <col min="7423" max="7423" width="12.7109375" style="64" customWidth="1"/>
    <col min="7424" max="7673" width="9.140625" style="64"/>
    <col min="7674" max="7674" width="5.42578125" style="64" customWidth="1"/>
    <col min="7675" max="7675" width="90.28515625" style="64" customWidth="1"/>
    <col min="7676" max="7677" width="12.42578125" style="64" customWidth="1"/>
    <col min="7678" max="7678" width="11.5703125" style="64" customWidth="1"/>
    <col min="7679" max="7679" width="12.7109375" style="64" customWidth="1"/>
    <col min="7680" max="7929" width="9.140625" style="64"/>
    <col min="7930" max="7930" width="5.42578125" style="64" customWidth="1"/>
    <col min="7931" max="7931" width="90.28515625" style="64" customWidth="1"/>
    <col min="7932" max="7933" width="12.42578125" style="64" customWidth="1"/>
    <col min="7934" max="7934" width="11.5703125" style="64" customWidth="1"/>
    <col min="7935" max="7935" width="12.7109375" style="64" customWidth="1"/>
    <col min="7936" max="8185" width="9.140625" style="64"/>
    <col min="8186" max="8186" width="5.42578125" style="64" customWidth="1"/>
    <col min="8187" max="8187" width="90.28515625" style="64" customWidth="1"/>
    <col min="8188" max="8189" width="12.42578125" style="64" customWidth="1"/>
    <col min="8190" max="8190" width="11.5703125" style="64" customWidth="1"/>
    <col min="8191" max="8191" width="12.7109375" style="64" customWidth="1"/>
    <col min="8192" max="8441" width="9.140625" style="64"/>
    <col min="8442" max="8442" width="5.42578125" style="64" customWidth="1"/>
    <col min="8443" max="8443" width="90.28515625" style="64" customWidth="1"/>
    <col min="8444" max="8445" width="12.42578125" style="64" customWidth="1"/>
    <col min="8446" max="8446" width="11.5703125" style="64" customWidth="1"/>
    <col min="8447" max="8447" width="12.7109375" style="64" customWidth="1"/>
    <col min="8448" max="8697" width="9.140625" style="64"/>
    <col min="8698" max="8698" width="5.42578125" style="64" customWidth="1"/>
    <col min="8699" max="8699" width="90.28515625" style="64" customWidth="1"/>
    <col min="8700" max="8701" width="12.42578125" style="64" customWidth="1"/>
    <col min="8702" max="8702" width="11.5703125" style="64" customWidth="1"/>
    <col min="8703" max="8703" width="12.7109375" style="64" customWidth="1"/>
    <col min="8704" max="8953" width="9.140625" style="64"/>
    <col min="8954" max="8954" width="5.42578125" style="64" customWidth="1"/>
    <col min="8955" max="8955" width="90.28515625" style="64" customWidth="1"/>
    <col min="8956" max="8957" width="12.42578125" style="64" customWidth="1"/>
    <col min="8958" max="8958" width="11.5703125" style="64" customWidth="1"/>
    <col min="8959" max="8959" width="12.7109375" style="64" customWidth="1"/>
    <col min="8960" max="9209" width="9.140625" style="64"/>
    <col min="9210" max="9210" width="5.42578125" style="64" customWidth="1"/>
    <col min="9211" max="9211" width="90.28515625" style="64" customWidth="1"/>
    <col min="9212" max="9213" width="12.42578125" style="64" customWidth="1"/>
    <col min="9214" max="9214" width="11.5703125" style="64" customWidth="1"/>
    <col min="9215" max="9215" width="12.7109375" style="64" customWidth="1"/>
    <col min="9216" max="9465" width="9.140625" style="64"/>
    <col min="9466" max="9466" width="5.42578125" style="64" customWidth="1"/>
    <col min="9467" max="9467" width="90.28515625" style="64" customWidth="1"/>
    <col min="9468" max="9469" width="12.42578125" style="64" customWidth="1"/>
    <col min="9470" max="9470" width="11.5703125" style="64" customWidth="1"/>
    <col min="9471" max="9471" width="12.7109375" style="64" customWidth="1"/>
    <col min="9472" max="9721" width="9.140625" style="64"/>
    <col min="9722" max="9722" width="5.42578125" style="64" customWidth="1"/>
    <col min="9723" max="9723" width="90.28515625" style="64" customWidth="1"/>
    <col min="9724" max="9725" width="12.42578125" style="64" customWidth="1"/>
    <col min="9726" max="9726" width="11.5703125" style="64" customWidth="1"/>
    <col min="9727" max="9727" width="12.7109375" style="64" customWidth="1"/>
    <col min="9728" max="9977" width="9.140625" style="64"/>
    <col min="9978" max="9978" width="5.42578125" style="64" customWidth="1"/>
    <col min="9979" max="9979" width="90.28515625" style="64" customWidth="1"/>
    <col min="9980" max="9981" width="12.42578125" style="64" customWidth="1"/>
    <col min="9982" max="9982" width="11.5703125" style="64" customWidth="1"/>
    <col min="9983" max="9983" width="12.7109375" style="64" customWidth="1"/>
    <col min="9984" max="10233" width="9.140625" style="64"/>
    <col min="10234" max="10234" width="5.42578125" style="64" customWidth="1"/>
    <col min="10235" max="10235" width="90.28515625" style="64" customWidth="1"/>
    <col min="10236" max="10237" width="12.42578125" style="64" customWidth="1"/>
    <col min="10238" max="10238" width="11.5703125" style="64" customWidth="1"/>
    <col min="10239" max="10239" width="12.7109375" style="64" customWidth="1"/>
    <col min="10240" max="10489" width="9.140625" style="64"/>
    <col min="10490" max="10490" width="5.42578125" style="64" customWidth="1"/>
    <col min="10491" max="10491" width="90.28515625" style="64" customWidth="1"/>
    <col min="10492" max="10493" width="12.42578125" style="64" customWidth="1"/>
    <col min="10494" max="10494" width="11.5703125" style="64" customWidth="1"/>
    <col min="10495" max="10495" width="12.7109375" style="64" customWidth="1"/>
    <col min="10496" max="10745" width="9.140625" style="64"/>
    <col min="10746" max="10746" width="5.42578125" style="64" customWidth="1"/>
    <col min="10747" max="10747" width="90.28515625" style="64" customWidth="1"/>
    <col min="10748" max="10749" width="12.42578125" style="64" customWidth="1"/>
    <col min="10750" max="10750" width="11.5703125" style="64" customWidth="1"/>
    <col min="10751" max="10751" width="12.7109375" style="64" customWidth="1"/>
    <col min="10752" max="11001" width="9.140625" style="64"/>
    <col min="11002" max="11002" width="5.42578125" style="64" customWidth="1"/>
    <col min="11003" max="11003" width="90.28515625" style="64" customWidth="1"/>
    <col min="11004" max="11005" width="12.42578125" style="64" customWidth="1"/>
    <col min="11006" max="11006" width="11.5703125" style="64" customWidth="1"/>
    <col min="11007" max="11007" width="12.7109375" style="64" customWidth="1"/>
    <col min="11008" max="11257" width="9.140625" style="64"/>
    <col min="11258" max="11258" width="5.42578125" style="64" customWidth="1"/>
    <col min="11259" max="11259" width="90.28515625" style="64" customWidth="1"/>
    <col min="11260" max="11261" width="12.42578125" style="64" customWidth="1"/>
    <col min="11262" max="11262" width="11.5703125" style="64" customWidth="1"/>
    <col min="11263" max="11263" width="12.7109375" style="64" customWidth="1"/>
    <col min="11264" max="11513" width="9.140625" style="64"/>
    <col min="11514" max="11514" width="5.42578125" style="64" customWidth="1"/>
    <col min="11515" max="11515" width="90.28515625" style="64" customWidth="1"/>
    <col min="11516" max="11517" width="12.42578125" style="64" customWidth="1"/>
    <col min="11518" max="11518" width="11.5703125" style="64" customWidth="1"/>
    <col min="11519" max="11519" width="12.7109375" style="64" customWidth="1"/>
    <col min="11520" max="11769" width="9.140625" style="64"/>
    <col min="11770" max="11770" width="5.42578125" style="64" customWidth="1"/>
    <col min="11771" max="11771" width="90.28515625" style="64" customWidth="1"/>
    <col min="11772" max="11773" width="12.42578125" style="64" customWidth="1"/>
    <col min="11774" max="11774" width="11.5703125" style="64" customWidth="1"/>
    <col min="11775" max="11775" width="12.7109375" style="64" customWidth="1"/>
    <col min="11776" max="12025" width="9.140625" style="64"/>
    <col min="12026" max="12026" width="5.42578125" style="64" customWidth="1"/>
    <col min="12027" max="12027" width="90.28515625" style="64" customWidth="1"/>
    <col min="12028" max="12029" width="12.42578125" style="64" customWidth="1"/>
    <col min="12030" max="12030" width="11.5703125" style="64" customWidth="1"/>
    <col min="12031" max="12031" width="12.7109375" style="64" customWidth="1"/>
    <col min="12032" max="12281" width="9.140625" style="64"/>
    <col min="12282" max="12282" width="5.42578125" style="64" customWidth="1"/>
    <col min="12283" max="12283" width="90.28515625" style="64" customWidth="1"/>
    <col min="12284" max="12285" width="12.42578125" style="64" customWidth="1"/>
    <col min="12286" max="12286" width="11.5703125" style="64" customWidth="1"/>
    <col min="12287" max="12287" width="12.7109375" style="64" customWidth="1"/>
    <col min="12288" max="12537" width="9.140625" style="64"/>
    <col min="12538" max="12538" width="5.42578125" style="64" customWidth="1"/>
    <col min="12539" max="12539" width="90.28515625" style="64" customWidth="1"/>
    <col min="12540" max="12541" width="12.42578125" style="64" customWidth="1"/>
    <col min="12542" max="12542" width="11.5703125" style="64" customWidth="1"/>
    <col min="12543" max="12543" width="12.7109375" style="64" customWidth="1"/>
    <col min="12544" max="12793" width="9.140625" style="64"/>
    <col min="12794" max="12794" width="5.42578125" style="64" customWidth="1"/>
    <col min="12795" max="12795" width="90.28515625" style="64" customWidth="1"/>
    <col min="12796" max="12797" width="12.42578125" style="64" customWidth="1"/>
    <col min="12798" max="12798" width="11.5703125" style="64" customWidth="1"/>
    <col min="12799" max="12799" width="12.7109375" style="64" customWidth="1"/>
    <col min="12800" max="13049" width="9.140625" style="64"/>
    <col min="13050" max="13050" width="5.42578125" style="64" customWidth="1"/>
    <col min="13051" max="13051" width="90.28515625" style="64" customWidth="1"/>
    <col min="13052" max="13053" width="12.42578125" style="64" customWidth="1"/>
    <col min="13054" max="13054" width="11.5703125" style="64" customWidth="1"/>
    <col min="13055" max="13055" width="12.7109375" style="64" customWidth="1"/>
    <col min="13056" max="13305" width="9.140625" style="64"/>
    <col min="13306" max="13306" width="5.42578125" style="64" customWidth="1"/>
    <col min="13307" max="13307" width="90.28515625" style="64" customWidth="1"/>
    <col min="13308" max="13309" width="12.42578125" style="64" customWidth="1"/>
    <col min="13310" max="13310" width="11.5703125" style="64" customWidth="1"/>
    <col min="13311" max="13311" width="12.7109375" style="64" customWidth="1"/>
    <col min="13312" max="13561" width="9.140625" style="64"/>
    <col min="13562" max="13562" width="5.42578125" style="64" customWidth="1"/>
    <col min="13563" max="13563" width="90.28515625" style="64" customWidth="1"/>
    <col min="13564" max="13565" width="12.42578125" style="64" customWidth="1"/>
    <col min="13566" max="13566" width="11.5703125" style="64" customWidth="1"/>
    <col min="13567" max="13567" width="12.7109375" style="64" customWidth="1"/>
    <col min="13568" max="13817" width="9.140625" style="64"/>
    <col min="13818" max="13818" width="5.42578125" style="64" customWidth="1"/>
    <col min="13819" max="13819" width="90.28515625" style="64" customWidth="1"/>
    <col min="13820" max="13821" width="12.42578125" style="64" customWidth="1"/>
    <col min="13822" max="13822" width="11.5703125" style="64" customWidth="1"/>
    <col min="13823" max="13823" width="12.7109375" style="64" customWidth="1"/>
    <col min="13824" max="14073" width="9.140625" style="64"/>
    <col min="14074" max="14074" width="5.42578125" style="64" customWidth="1"/>
    <col min="14075" max="14075" width="90.28515625" style="64" customWidth="1"/>
    <col min="14076" max="14077" width="12.42578125" style="64" customWidth="1"/>
    <col min="14078" max="14078" width="11.5703125" style="64" customWidth="1"/>
    <col min="14079" max="14079" width="12.7109375" style="64" customWidth="1"/>
    <col min="14080" max="14329" width="9.140625" style="64"/>
    <col min="14330" max="14330" width="5.42578125" style="64" customWidth="1"/>
    <col min="14331" max="14331" width="90.28515625" style="64" customWidth="1"/>
    <col min="14332" max="14333" width="12.42578125" style="64" customWidth="1"/>
    <col min="14334" max="14334" width="11.5703125" style="64" customWidth="1"/>
    <col min="14335" max="14335" width="12.7109375" style="64" customWidth="1"/>
    <col min="14336" max="14585" width="9.140625" style="64"/>
    <col min="14586" max="14586" width="5.42578125" style="64" customWidth="1"/>
    <col min="14587" max="14587" width="90.28515625" style="64" customWidth="1"/>
    <col min="14588" max="14589" width="12.42578125" style="64" customWidth="1"/>
    <col min="14590" max="14590" width="11.5703125" style="64" customWidth="1"/>
    <col min="14591" max="14591" width="12.7109375" style="64" customWidth="1"/>
    <col min="14592" max="14841" width="9.140625" style="64"/>
    <col min="14842" max="14842" width="5.42578125" style="64" customWidth="1"/>
    <col min="14843" max="14843" width="90.28515625" style="64" customWidth="1"/>
    <col min="14844" max="14845" width="12.42578125" style="64" customWidth="1"/>
    <col min="14846" max="14846" width="11.5703125" style="64" customWidth="1"/>
    <col min="14847" max="14847" width="12.7109375" style="64" customWidth="1"/>
    <col min="14848" max="15097" width="9.140625" style="64"/>
    <col min="15098" max="15098" width="5.42578125" style="64" customWidth="1"/>
    <col min="15099" max="15099" width="90.28515625" style="64" customWidth="1"/>
    <col min="15100" max="15101" width="12.42578125" style="64" customWidth="1"/>
    <col min="15102" max="15102" width="11.5703125" style="64" customWidth="1"/>
    <col min="15103" max="15103" width="12.7109375" style="64" customWidth="1"/>
    <col min="15104" max="15353" width="9.140625" style="64"/>
    <col min="15354" max="15354" width="5.42578125" style="64" customWidth="1"/>
    <col min="15355" max="15355" width="90.28515625" style="64" customWidth="1"/>
    <col min="15356" max="15357" width="12.42578125" style="64" customWidth="1"/>
    <col min="15358" max="15358" width="11.5703125" style="64" customWidth="1"/>
    <col min="15359" max="15359" width="12.7109375" style="64" customWidth="1"/>
    <col min="15360" max="15609" width="9.140625" style="64"/>
    <col min="15610" max="15610" width="5.42578125" style="64" customWidth="1"/>
    <col min="15611" max="15611" width="90.28515625" style="64" customWidth="1"/>
    <col min="15612" max="15613" width="12.42578125" style="64" customWidth="1"/>
    <col min="15614" max="15614" width="11.5703125" style="64" customWidth="1"/>
    <col min="15615" max="15615" width="12.7109375" style="64" customWidth="1"/>
    <col min="15616" max="15865" width="9.140625" style="64"/>
    <col min="15866" max="15866" width="5.42578125" style="64" customWidth="1"/>
    <col min="15867" max="15867" width="90.28515625" style="64" customWidth="1"/>
    <col min="15868" max="15869" width="12.42578125" style="64" customWidth="1"/>
    <col min="15870" max="15870" width="11.5703125" style="64" customWidth="1"/>
    <col min="15871" max="15871" width="12.7109375" style="64" customWidth="1"/>
    <col min="15872" max="16121" width="9.140625" style="64"/>
    <col min="16122" max="16122" width="5.42578125" style="64" customWidth="1"/>
    <col min="16123" max="16123" width="90.28515625" style="64" customWidth="1"/>
    <col min="16124" max="16125" width="12.42578125" style="64" customWidth="1"/>
    <col min="16126" max="16126" width="11.5703125" style="64" customWidth="1"/>
    <col min="16127" max="16127" width="12.7109375" style="64" customWidth="1"/>
    <col min="16128" max="16384" width="9.140625" style="64"/>
  </cols>
  <sheetData>
    <row r="1" spans="1:8" ht="15" customHeight="1" x14ac:dyDescent="0.2">
      <c r="A1" s="458" t="s">
        <v>305</v>
      </c>
      <c r="B1" s="458"/>
      <c r="C1" s="458"/>
      <c r="D1" s="458"/>
      <c r="E1" s="458"/>
      <c r="F1" s="458"/>
    </row>
    <row r="2" spans="1:8" ht="15" customHeight="1" x14ac:dyDescent="0.25">
      <c r="A2" s="67"/>
      <c r="B2" s="68"/>
      <c r="C2" s="68"/>
      <c r="D2" s="68"/>
    </row>
    <row r="3" spans="1:8" ht="15" customHeight="1" x14ac:dyDescent="0.25">
      <c r="A3" s="622" t="s">
        <v>357</v>
      </c>
      <c r="B3" s="622"/>
      <c r="C3" s="622"/>
      <c r="D3" s="622"/>
      <c r="E3" s="622"/>
      <c r="F3" s="622"/>
    </row>
    <row r="4" spans="1:8" ht="15" customHeight="1" x14ac:dyDescent="0.2">
      <c r="A4" s="705" t="s">
        <v>113</v>
      </c>
      <c r="B4" s="705"/>
      <c r="C4" s="705"/>
      <c r="D4" s="705"/>
      <c r="E4" s="705"/>
      <c r="F4" s="705"/>
    </row>
    <row r="5" spans="1:8" ht="15" customHeight="1" x14ac:dyDescent="0.25">
      <c r="A5" s="622" t="s">
        <v>287</v>
      </c>
      <c r="B5" s="622"/>
      <c r="C5" s="622"/>
      <c r="D5" s="622"/>
      <c r="E5" s="622"/>
      <c r="F5" s="622"/>
    </row>
    <row r="6" spans="1:8" ht="15" customHeight="1" x14ac:dyDescent="0.25">
      <c r="A6" s="622"/>
      <c r="B6" s="622"/>
      <c r="C6" s="622"/>
      <c r="D6" s="622"/>
      <c r="E6" s="622"/>
      <c r="F6" s="622"/>
      <c r="G6" s="65"/>
      <c r="H6" s="65"/>
    </row>
    <row r="7" spans="1:8" ht="15" customHeight="1" thickBot="1" x14ac:dyDescent="0.3">
      <c r="B7" s="70"/>
      <c r="F7" s="71" t="s">
        <v>252</v>
      </c>
    </row>
    <row r="8" spans="1:8" ht="15" customHeight="1" x14ac:dyDescent="0.2">
      <c r="A8" s="708" t="s">
        <v>9</v>
      </c>
      <c r="B8" s="710" t="s">
        <v>114</v>
      </c>
      <c r="C8" s="712" t="s">
        <v>288</v>
      </c>
      <c r="D8" s="712" t="s">
        <v>289</v>
      </c>
      <c r="E8" s="701" t="s">
        <v>290</v>
      </c>
      <c r="F8" s="703" t="s">
        <v>115</v>
      </c>
    </row>
    <row r="9" spans="1:8" ht="15" customHeight="1" x14ac:dyDescent="0.2">
      <c r="A9" s="709"/>
      <c r="B9" s="711"/>
      <c r="C9" s="713"/>
      <c r="D9" s="713"/>
      <c r="E9" s="702"/>
      <c r="F9" s="704"/>
    </row>
    <row r="10" spans="1:8" ht="15" customHeight="1" thickBot="1" x14ac:dyDescent="0.25">
      <c r="A10" s="709"/>
      <c r="B10" s="711"/>
      <c r="C10" s="713"/>
      <c r="D10" s="713"/>
      <c r="E10" s="702"/>
      <c r="F10" s="704"/>
    </row>
    <row r="11" spans="1:8" ht="23.1" customHeight="1" x14ac:dyDescent="0.2">
      <c r="A11" s="218" t="s">
        <v>1</v>
      </c>
      <c r="B11" s="320" t="s">
        <v>116</v>
      </c>
      <c r="C11" s="321">
        <v>1000000</v>
      </c>
      <c r="D11" s="321">
        <v>1000000</v>
      </c>
      <c r="E11" s="219">
        <v>925933</v>
      </c>
      <c r="F11" s="87">
        <f>+E11/D11*100</f>
        <v>92.593299999999999</v>
      </c>
    </row>
    <row r="12" spans="1:8" ht="23.1" customHeight="1" x14ac:dyDescent="0.2">
      <c r="A12" s="49" t="s">
        <v>2</v>
      </c>
      <c r="B12" s="322" t="s">
        <v>130</v>
      </c>
      <c r="C12" s="323">
        <v>5000000</v>
      </c>
      <c r="D12" s="323">
        <v>3500000</v>
      </c>
      <c r="E12" s="217">
        <v>2197895</v>
      </c>
      <c r="F12" s="88">
        <f t="shared" ref="F12:F18" si="0">+E12/D12*100</f>
        <v>62.797000000000004</v>
      </c>
      <c r="G12" s="69"/>
    </row>
    <row r="13" spans="1:8" ht="23.1" customHeight="1" x14ac:dyDescent="0.2">
      <c r="A13" s="49" t="s">
        <v>4</v>
      </c>
      <c r="B13" s="318" t="s">
        <v>117</v>
      </c>
      <c r="C13" s="323">
        <v>3000000</v>
      </c>
      <c r="D13" s="323">
        <v>2600000</v>
      </c>
      <c r="E13" s="217">
        <v>2350000</v>
      </c>
      <c r="F13" s="88">
        <f t="shared" si="0"/>
        <v>90.384615384615387</v>
      </c>
    </row>
    <row r="14" spans="1:8" ht="23.1" customHeight="1" x14ac:dyDescent="0.2">
      <c r="A14" s="215" t="s">
        <v>5</v>
      </c>
      <c r="B14" s="318" t="s">
        <v>118</v>
      </c>
      <c r="C14" s="323">
        <v>1054500</v>
      </c>
      <c r="D14" s="323">
        <v>1054500</v>
      </c>
      <c r="E14" s="217">
        <v>1054500</v>
      </c>
      <c r="F14" s="88">
        <f t="shared" si="0"/>
        <v>100</v>
      </c>
    </row>
    <row r="15" spans="1:8" ht="23.1" customHeight="1" x14ac:dyDescent="0.2">
      <c r="A15" s="49" t="s">
        <v>7</v>
      </c>
      <c r="B15" s="318" t="s">
        <v>125</v>
      </c>
      <c r="C15" s="323">
        <v>50000</v>
      </c>
      <c r="D15" s="323">
        <v>50000</v>
      </c>
      <c r="E15" s="217">
        <v>50000</v>
      </c>
      <c r="F15" s="88">
        <f t="shared" si="0"/>
        <v>100</v>
      </c>
    </row>
    <row r="16" spans="1:8" ht="23.1" customHeight="1" x14ac:dyDescent="0.2">
      <c r="A16" s="215" t="s">
        <v>27</v>
      </c>
      <c r="B16" s="319" t="s">
        <v>256</v>
      </c>
      <c r="C16" s="324">
        <v>50000</v>
      </c>
      <c r="D16" s="324">
        <v>50000</v>
      </c>
      <c r="E16" s="214">
        <v>50000</v>
      </c>
      <c r="F16" s="88">
        <f t="shared" si="0"/>
        <v>100</v>
      </c>
    </row>
    <row r="17" spans="1:6" ht="23.1" customHeight="1" x14ac:dyDescent="0.2">
      <c r="A17" s="325" t="s">
        <v>81</v>
      </c>
      <c r="B17" s="326" t="s">
        <v>135</v>
      </c>
      <c r="C17" s="324">
        <v>113000</v>
      </c>
      <c r="D17" s="324">
        <v>1565600</v>
      </c>
      <c r="E17" s="214">
        <v>444200</v>
      </c>
      <c r="F17" s="88">
        <f t="shared" si="0"/>
        <v>28.372508942258555</v>
      </c>
    </row>
    <row r="18" spans="1:6" ht="23.1" customHeight="1" thickBot="1" x14ac:dyDescent="0.25">
      <c r="A18" s="220" t="s">
        <v>82</v>
      </c>
      <c r="B18" s="221" t="s">
        <v>119</v>
      </c>
      <c r="C18" s="222">
        <v>0</v>
      </c>
      <c r="D18" s="222">
        <v>4195411</v>
      </c>
      <c r="E18" s="223">
        <v>855516</v>
      </c>
      <c r="F18" s="224">
        <f t="shared" si="0"/>
        <v>20.391708941031045</v>
      </c>
    </row>
    <row r="19" spans="1:6" ht="29.25" customHeight="1" thickBot="1" x14ac:dyDescent="0.25">
      <c r="A19" s="706" t="s">
        <v>120</v>
      </c>
      <c r="B19" s="707"/>
      <c r="C19" s="303">
        <f>SUM(C11:C18)</f>
        <v>10267500</v>
      </c>
      <c r="D19" s="303">
        <f>SUM(D11:D18)</f>
        <v>14015511</v>
      </c>
      <c r="E19" s="303">
        <f>SUM(E11:E18)</f>
        <v>7928044</v>
      </c>
      <c r="F19" s="305">
        <f>+E19/D19*100</f>
        <v>56.566214389186378</v>
      </c>
    </row>
    <row r="20" spans="1:6" ht="18" customHeight="1" x14ac:dyDescent="0.3">
      <c r="A20" s="72"/>
      <c r="B20" s="73"/>
      <c r="C20" s="74"/>
      <c r="D20" s="74"/>
      <c r="E20" s="81"/>
      <c r="F20" s="82"/>
    </row>
    <row r="21" spans="1:6" ht="15" customHeight="1" x14ac:dyDescent="0.25">
      <c r="E21" s="81"/>
    </row>
  </sheetData>
  <mergeCells count="12">
    <mergeCell ref="A19:B19"/>
    <mergeCell ref="A8:A10"/>
    <mergeCell ref="B8:B10"/>
    <mergeCell ref="C8:C10"/>
    <mergeCell ref="D8:D10"/>
    <mergeCell ref="E8:E10"/>
    <mergeCell ref="F8:F10"/>
    <mergeCell ref="A1:F1"/>
    <mergeCell ref="A3:F3"/>
    <mergeCell ref="A4:F4"/>
    <mergeCell ref="A5:F5"/>
    <mergeCell ref="A6:F6"/>
  </mergeCells>
  <printOptions horizontalCentered="1"/>
  <pageMargins left="7.874015748031496E-2" right="7.874015748031496E-2" top="0.59055118110236227" bottom="0.59055118110236227" header="0.51181102362204722" footer="0.51181102362204722"/>
  <pageSetup paperSize="9" orientation="landscape" r:id="rId1"/>
  <headerFooter alignWithMargins="0"/>
  <rowBreaks count="1" manualBreakCount="1">
    <brk id="19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0.59999389629810485"/>
  </sheetPr>
  <dimension ref="A1:J47"/>
  <sheetViews>
    <sheetView topLeftCell="A23" zoomScaleNormal="100" workbookViewId="0">
      <selection activeCell="J36" sqref="J36"/>
    </sheetView>
  </sheetViews>
  <sheetFormatPr defaultRowHeight="15.75" x14ac:dyDescent="0.25"/>
  <cols>
    <col min="1" max="1" width="5.42578125" style="63" customWidth="1"/>
    <col min="2" max="2" width="101.7109375" style="75" customWidth="1"/>
    <col min="3" max="3" width="11.7109375" style="66" customWidth="1"/>
    <col min="4" max="4" width="12.42578125" style="66" customWidth="1"/>
    <col min="5" max="5" width="11.7109375" style="66" customWidth="1"/>
    <col min="6" max="6" width="10" style="66" customWidth="1"/>
    <col min="7" max="256" width="9.140625" style="64"/>
    <col min="257" max="257" width="5.42578125" style="64" customWidth="1"/>
    <col min="258" max="258" width="101.7109375" style="64" customWidth="1"/>
    <col min="259" max="262" width="14.140625" style="64" customWidth="1"/>
    <col min="263" max="512" width="9.140625" style="64"/>
    <col min="513" max="513" width="5.42578125" style="64" customWidth="1"/>
    <col min="514" max="514" width="101.7109375" style="64" customWidth="1"/>
    <col min="515" max="518" width="14.140625" style="64" customWidth="1"/>
    <col min="519" max="768" width="9.140625" style="64"/>
    <col min="769" max="769" width="5.42578125" style="64" customWidth="1"/>
    <col min="770" max="770" width="101.7109375" style="64" customWidth="1"/>
    <col min="771" max="774" width="14.140625" style="64" customWidth="1"/>
    <col min="775" max="1024" width="9.140625" style="64"/>
    <col min="1025" max="1025" width="5.42578125" style="64" customWidth="1"/>
    <col min="1026" max="1026" width="101.7109375" style="64" customWidth="1"/>
    <col min="1027" max="1030" width="14.140625" style="64" customWidth="1"/>
    <col min="1031" max="1280" width="9.140625" style="64"/>
    <col min="1281" max="1281" width="5.42578125" style="64" customWidth="1"/>
    <col min="1282" max="1282" width="101.7109375" style="64" customWidth="1"/>
    <col min="1283" max="1286" width="14.140625" style="64" customWidth="1"/>
    <col min="1287" max="1536" width="9.140625" style="64"/>
    <col min="1537" max="1537" width="5.42578125" style="64" customWidth="1"/>
    <col min="1538" max="1538" width="101.7109375" style="64" customWidth="1"/>
    <col min="1539" max="1542" width="14.140625" style="64" customWidth="1"/>
    <col min="1543" max="1792" width="9.140625" style="64"/>
    <col min="1793" max="1793" width="5.42578125" style="64" customWidth="1"/>
    <col min="1794" max="1794" width="101.7109375" style="64" customWidth="1"/>
    <col min="1795" max="1798" width="14.140625" style="64" customWidth="1"/>
    <col min="1799" max="2048" width="9.140625" style="64"/>
    <col min="2049" max="2049" width="5.42578125" style="64" customWidth="1"/>
    <col min="2050" max="2050" width="101.7109375" style="64" customWidth="1"/>
    <col min="2051" max="2054" width="14.140625" style="64" customWidth="1"/>
    <col min="2055" max="2304" width="9.140625" style="64"/>
    <col min="2305" max="2305" width="5.42578125" style="64" customWidth="1"/>
    <col min="2306" max="2306" width="101.7109375" style="64" customWidth="1"/>
    <col min="2307" max="2310" width="14.140625" style="64" customWidth="1"/>
    <col min="2311" max="2560" width="9.140625" style="64"/>
    <col min="2561" max="2561" width="5.42578125" style="64" customWidth="1"/>
    <col min="2562" max="2562" width="101.7109375" style="64" customWidth="1"/>
    <col min="2563" max="2566" width="14.140625" style="64" customWidth="1"/>
    <col min="2567" max="2816" width="9.140625" style="64"/>
    <col min="2817" max="2817" width="5.42578125" style="64" customWidth="1"/>
    <col min="2818" max="2818" width="101.7109375" style="64" customWidth="1"/>
    <col min="2819" max="2822" width="14.140625" style="64" customWidth="1"/>
    <col min="2823" max="3072" width="9.140625" style="64"/>
    <col min="3073" max="3073" width="5.42578125" style="64" customWidth="1"/>
    <col min="3074" max="3074" width="101.7109375" style="64" customWidth="1"/>
    <col min="3075" max="3078" width="14.140625" style="64" customWidth="1"/>
    <col min="3079" max="3328" width="9.140625" style="64"/>
    <col min="3329" max="3329" width="5.42578125" style="64" customWidth="1"/>
    <col min="3330" max="3330" width="101.7109375" style="64" customWidth="1"/>
    <col min="3331" max="3334" width="14.140625" style="64" customWidth="1"/>
    <col min="3335" max="3584" width="9.140625" style="64"/>
    <col min="3585" max="3585" width="5.42578125" style="64" customWidth="1"/>
    <col min="3586" max="3586" width="101.7109375" style="64" customWidth="1"/>
    <col min="3587" max="3590" width="14.140625" style="64" customWidth="1"/>
    <col min="3591" max="3840" width="9.140625" style="64"/>
    <col min="3841" max="3841" width="5.42578125" style="64" customWidth="1"/>
    <col min="3842" max="3842" width="101.7109375" style="64" customWidth="1"/>
    <col min="3843" max="3846" width="14.140625" style="64" customWidth="1"/>
    <col min="3847" max="4096" width="9.140625" style="64"/>
    <col min="4097" max="4097" width="5.42578125" style="64" customWidth="1"/>
    <col min="4098" max="4098" width="101.7109375" style="64" customWidth="1"/>
    <col min="4099" max="4102" width="14.140625" style="64" customWidth="1"/>
    <col min="4103" max="4352" width="9.140625" style="64"/>
    <col min="4353" max="4353" width="5.42578125" style="64" customWidth="1"/>
    <col min="4354" max="4354" width="101.7109375" style="64" customWidth="1"/>
    <col min="4355" max="4358" width="14.140625" style="64" customWidth="1"/>
    <col min="4359" max="4608" width="9.140625" style="64"/>
    <col min="4609" max="4609" width="5.42578125" style="64" customWidth="1"/>
    <col min="4610" max="4610" width="101.7109375" style="64" customWidth="1"/>
    <col min="4611" max="4614" width="14.140625" style="64" customWidth="1"/>
    <col min="4615" max="4864" width="9.140625" style="64"/>
    <col min="4865" max="4865" width="5.42578125" style="64" customWidth="1"/>
    <col min="4866" max="4866" width="101.7109375" style="64" customWidth="1"/>
    <col min="4867" max="4870" width="14.140625" style="64" customWidth="1"/>
    <col min="4871" max="5120" width="9.140625" style="64"/>
    <col min="5121" max="5121" width="5.42578125" style="64" customWidth="1"/>
    <col min="5122" max="5122" width="101.7109375" style="64" customWidth="1"/>
    <col min="5123" max="5126" width="14.140625" style="64" customWidth="1"/>
    <col min="5127" max="5376" width="9.140625" style="64"/>
    <col min="5377" max="5377" width="5.42578125" style="64" customWidth="1"/>
    <col min="5378" max="5378" width="101.7109375" style="64" customWidth="1"/>
    <col min="5379" max="5382" width="14.140625" style="64" customWidth="1"/>
    <col min="5383" max="5632" width="9.140625" style="64"/>
    <col min="5633" max="5633" width="5.42578125" style="64" customWidth="1"/>
    <col min="5634" max="5634" width="101.7109375" style="64" customWidth="1"/>
    <col min="5635" max="5638" width="14.140625" style="64" customWidth="1"/>
    <col min="5639" max="5888" width="9.140625" style="64"/>
    <col min="5889" max="5889" width="5.42578125" style="64" customWidth="1"/>
    <col min="5890" max="5890" width="101.7109375" style="64" customWidth="1"/>
    <col min="5891" max="5894" width="14.140625" style="64" customWidth="1"/>
    <col min="5895" max="6144" width="9.140625" style="64"/>
    <col min="6145" max="6145" width="5.42578125" style="64" customWidth="1"/>
    <col min="6146" max="6146" width="101.7109375" style="64" customWidth="1"/>
    <col min="6147" max="6150" width="14.140625" style="64" customWidth="1"/>
    <col min="6151" max="6400" width="9.140625" style="64"/>
    <col min="6401" max="6401" width="5.42578125" style="64" customWidth="1"/>
    <col min="6402" max="6402" width="101.7109375" style="64" customWidth="1"/>
    <col min="6403" max="6406" width="14.140625" style="64" customWidth="1"/>
    <col min="6407" max="6656" width="9.140625" style="64"/>
    <col min="6657" max="6657" width="5.42578125" style="64" customWidth="1"/>
    <col min="6658" max="6658" width="101.7109375" style="64" customWidth="1"/>
    <col min="6659" max="6662" width="14.140625" style="64" customWidth="1"/>
    <col min="6663" max="6912" width="9.140625" style="64"/>
    <col min="6913" max="6913" width="5.42578125" style="64" customWidth="1"/>
    <col min="6914" max="6914" width="101.7109375" style="64" customWidth="1"/>
    <col min="6915" max="6918" width="14.140625" style="64" customWidth="1"/>
    <col min="6919" max="7168" width="9.140625" style="64"/>
    <col min="7169" max="7169" width="5.42578125" style="64" customWidth="1"/>
    <col min="7170" max="7170" width="101.7109375" style="64" customWidth="1"/>
    <col min="7171" max="7174" width="14.140625" style="64" customWidth="1"/>
    <col min="7175" max="7424" width="9.140625" style="64"/>
    <col min="7425" max="7425" width="5.42578125" style="64" customWidth="1"/>
    <col min="7426" max="7426" width="101.7109375" style="64" customWidth="1"/>
    <col min="7427" max="7430" width="14.140625" style="64" customWidth="1"/>
    <col min="7431" max="7680" width="9.140625" style="64"/>
    <col min="7681" max="7681" width="5.42578125" style="64" customWidth="1"/>
    <col min="7682" max="7682" width="101.7109375" style="64" customWidth="1"/>
    <col min="7683" max="7686" width="14.140625" style="64" customWidth="1"/>
    <col min="7687" max="7936" width="9.140625" style="64"/>
    <col min="7937" max="7937" width="5.42578125" style="64" customWidth="1"/>
    <col min="7938" max="7938" width="101.7109375" style="64" customWidth="1"/>
    <col min="7939" max="7942" width="14.140625" style="64" customWidth="1"/>
    <col min="7943" max="8192" width="9.140625" style="64"/>
    <col min="8193" max="8193" width="5.42578125" style="64" customWidth="1"/>
    <col min="8194" max="8194" width="101.7109375" style="64" customWidth="1"/>
    <col min="8195" max="8198" width="14.140625" style="64" customWidth="1"/>
    <col min="8199" max="8448" width="9.140625" style="64"/>
    <col min="8449" max="8449" width="5.42578125" style="64" customWidth="1"/>
    <col min="8450" max="8450" width="101.7109375" style="64" customWidth="1"/>
    <col min="8451" max="8454" width="14.140625" style="64" customWidth="1"/>
    <col min="8455" max="8704" width="9.140625" style="64"/>
    <col min="8705" max="8705" width="5.42578125" style="64" customWidth="1"/>
    <col min="8706" max="8706" width="101.7109375" style="64" customWidth="1"/>
    <col min="8707" max="8710" width="14.140625" style="64" customWidth="1"/>
    <col min="8711" max="8960" width="9.140625" style="64"/>
    <col min="8961" max="8961" width="5.42578125" style="64" customWidth="1"/>
    <col min="8962" max="8962" width="101.7109375" style="64" customWidth="1"/>
    <col min="8963" max="8966" width="14.140625" style="64" customWidth="1"/>
    <col min="8967" max="9216" width="9.140625" style="64"/>
    <col min="9217" max="9217" width="5.42578125" style="64" customWidth="1"/>
    <col min="9218" max="9218" width="101.7109375" style="64" customWidth="1"/>
    <col min="9219" max="9222" width="14.140625" style="64" customWidth="1"/>
    <col min="9223" max="9472" width="9.140625" style="64"/>
    <col min="9473" max="9473" width="5.42578125" style="64" customWidth="1"/>
    <col min="9474" max="9474" width="101.7109375" style="64" customWidth="1"/>
    <col min="9475" max="9478" width="14.140625" style="64" customWidth="1"/>
    <col min="9479" max="9728" width="9.140625" style="64"/>
    <col min="9729" max="9729" width="5.42578125" style="64" customWidth="1"/>
    <col min="9730" max="9730" width="101.7109375" style="64" customWidth="1"/>
    <col min="9731" max="9734" width="14.140625" style="64" customWidth="1"/>
    <col min="9735" max="9984" width="9.140625" style="64"/>
    <col min="9985" max="9985" width="5.42578125" style="64" customWidth="1"/>
    <col min="9986" max="9986" width="101.7109375" style="64" customWidth="1"/>
    <col min="9987" max="9990" width="14.140625" style="64" customWidth="1"/>
    <col min="9991" max="10240" width="9.140625" style="64"/>
    <col min="10241" max="10241" width="5.42578125" style="64" customWidth="1"/>
    <col min="10242" max="10242" width="101.7109375" style="64" customWidth="1"/>
    <col min="10243" max="10246" width="14.140625" style="64" customWidth="1"/>
    <col min="10247" max="10496" width="9.140625" style="64"/>
    <col min="10497" max="10497" width="5.42578125" style="64" customWidth="1"/>
    <col min="10498" max="10498" width="101.7109375" style="64" customWidth="1"/>
    <col min="10499" max="10502" width="14.140625" style="64" customWidth="1"/>
    <col min="10503" max="10752" width="9.140625" style="64"/>
    <col min="10753" max="10753" width="5.42578125" style="64" customWidth="1"/>
    <col min="10754" max="10754" width="101.7109375" style="64" customWidth="1"/>
    <col min="10755" max="10758" width="14.140625" style="64" customWidth="1"/>
    <col min="10759" max="11008" width="9.140625" style="64"/>
    <col min="11009" max="11009" width="5.42578125" style="64" customWidth="1"/>
    <col min="11010" max="11010" width="101.7109375" style="64" customWidth="1"/>
    <col min="11011" max="11014" width="14.140625" style="64" customWidth="1"/>
    <col min="11015" max="11264" width="9.140625" style="64"/>
    <col min="11265" max="11265" width="5.42578125" style="64" customWidth="1"/>
    <col min="11266" max="11266" width="101.7109375" style="64" customWidth="1"/>
    <col min="11267" max="11270" width="14.140625" style="64" customWidth="1"/>
    <col min="11271" max="11520" width="9.140625" style="64"/>
    <col min="11521" max="11521" width="5.42578125" style="64" customWidth="1"/>
    <col min="11522" max="11522" width="101.7109375" style="64" customWidth="1"/>
    <col min="11523" max="11526" width="14.140625" style="64" customWidth="1"/>
    <col min="11527" max="11776" width="9.140625" style="64"/>
    <col min="11777" max="11777" width="5.42578125" style="64" customWidth="1"/>
    <col min="11778" max="11778" width="101.7109375" style="64" customWidth="1"/>
    <col min="11779" max="11782" width="14.140625" style="64" customWidth="1"/>
    <col min="11783" max="12032" width="9.140625" style="64"/>
    <col min="12033" max="12033" width="5.42578125" style="64" customWidth="1"/>
    <col min="12034" max="12034" width="101.7109375" style="64" customWidth="1"/>
    <col min="12035" max="12038" width="14.140625" style="64" customWidth="1"/>
    <col min="12039" max="12288" width="9.140625" style="64"/>
    <col min="12289" max="12289" width="5.42578125" style="64" customWidth="1"/>
    <col min="12290" max="12290" width="101.7109375" style="64" customWidth="1"/>
    <col min="12291" max="12294" width="14.140625" style="64" customWidth="1"/>
    <col min="12295" max="12544" width="9.140625" style="64"/>
    <col min="12545" max="12545" width="5.42578125" style="64" customWidth="1"/>
    <col min="12546" max="12546" width="101.7109375" style="64" customWidth="1"/>
    <col min="12547" max="12550" width="14.140625" style="64" customWidth="1"/>
    <col min="12551" max="12800" width="9.140625" style="64"/>
    <col min="12801" max="12801" width="5.42578125" style="64" customWidth="1"/>
    <col min="12802" max="12802" width="101.7109375" style="64" customWidth="1"/>
    <col min="12803" max="12806" width="14.140625" style="64" customWidth="1"/>
    <col min="12807" max="13056" width="9.140625" style="64"/>
    <col min="13057" max="13057" width="5.42578125" style="64" customWidth="1"/>
    <col min="13058" max="13058" width="101.7109375" style="64" customWidth="1"/>
    <col min="13059" max="13062" width="14.140625" style="64" customWidth="1"/>
    <col min="13063" max="13312" width="9.140625" style="64"/>
    <col min="13313" max="13313" width="5.42578125" style="64" customWidth="1"/>
    <col min="13314" max="13314" width="101.7109375" style="64" customWidth="1"/>
    <col min="13315" max="13318" width="14.140625" style="64" customWidth="1"/>
    <col min="13319" max="13568" width="9.140625" style="64"/>
    <col min="13569" max="13569" width="5.42578125" style="64" customWidth="1"/>
    <col min="13570" max="13570" width="101.7109375" style="64" customWidth="1"/>
    <col min="13571" max="13574" width="14.140625" style="64" customWidth="1"/>
    <col min="13575" max="13824" width="9.140625" style="64"/>
    <col min="13825" max="13825" width="5.42578125" style="64" customWidth="1"/>
    <col min="13826" max="13826" width="101.7109375" style="64" customWidth="1"/>
    <col min="13827" max="13830" width="14.140625" style="64" customWidth="1"/>
    <col min="13831" max="14080" width="9.140625" style="64"/>
    <col min="14081" max="14081" width="5.42578125" style="64" customWidth="1"/>
    <col min="14082" max="14082" width="101.7109375" style="64" customWidth="1"/>
    <col min="14083" max="14086" width="14.140625" style="64" customWidth="1"/>
    <col min="14087" max="14336" width="9.140625" style="64"/>
    <col min="14337" max="14337" width="5.42578125" style="64" customWidth="1"/>
    <col min="14338" max="14338" width="101.7109375" style="64" customWidth="1"/>
    <col min="14339" max="14342" width="14.140625" style="64" customWidth="1"/>
    <col min="14343" max="14592" width="9.140625" style="64"/>
    <col min="14593" max="14593" width="5.42578125" style="64" customWidth="1"/>
    <col min="14594" max="14594" width="101.7109375" style="64" customWidth="1"/>
    <col min="14595" max="14598" width="14.140625" style="64" customWidth="1"/>
    <col min="14599" max="14848" width="9.140625" style="64"/>
    <col min="14849" max="14849" width="5.42578125" style="64" customWidth="1"/>
    <col min="14850" max="14850" width="101.7109375" style="64" customWidth="1"/>
    <col min="14851" max="14854" width="14.140625" style="64" customWidth="1"/>
    <col min="14855" max="15104" width="9.140625" style="64"/>
    <col min="15105" max="15105" width="5.42578125" style="64" customWidth="1"/>
    <col min="15106" max="15106" width="101.7109375" style="64" customWidth="1"/>
    <col min="15107" max="15110" width="14.140625" style="64" customWidth="1"/>
    <col min="15111" max="15360" width="9.140625" style="64"/>
    <col min="15361" max="15361" width="5.42578125" style="64" customWidth="1"/>
    <col min="15362" max="15362" width="101.7109375" style="64" customWidth="1"/>
    <col min="15363" max="15366" width="14.140625" style="64" customWidth="1"/>
    <col min="15367" max="15616" width="9.140625" style="64"/>
    <col min="15617" max="15617" width="5.42578125" style="64" customWidth="1"/>
    <col min="15618" max="15618" width="101.7109375" style="64" customWidth="1"/>
    <col min="15619" max="15622" width="14.140625" style="64" customWidth="1"/>
    <col min="15623" max="15872" width="9.140625" style="64"/>
    <col min="15873" max="15873" width="5.42578125" style="64" customWidth="1"/>
    <col min="15874" max="15874" width="101.7109375" style="64" customWidth="1"/>
    <col min="15875" max="15878" width="14.140625" style="64" customWidth="1"/>
    <col min="15879" max="16128" width="9.140625" style="64"/>
    <col min="16129" max="16129" width="5.42578125" style="64" customWidth="1"/>
    <col min="16130" max="16130" width="101.7109375" style="64" customWidth="1"/>
    <col min="16131" max="16134" width="14.140625" style="64" customWidth="1"/>
    <col min="16135" max="16384" width="9.140625" style="64"/>
  </cols>
  <sheetData>
    <row r="1" spans="1:6" ht="15" customHeight="1" x14ac:dyDescent="0.2">
      <c r="A1" s="458" t="s">
        <v>304</v>
      </c>
      <c r="B1" s="458"/>
      <c r="C1" s="458"/>
      <c r="D1" s="458"/>
      <c r="E1" s="458"/>
      <c r="F1" s="458"/>
    </row>
    <row r="2" spans="1:6" ht="15" customHeight="1" x14ac:dyDescent="0.25">
      <c r="A2" s="67"/>
      <c r="B2" s="68"/>
      <c r="C2" s="68"/>
      <c r="D2" s="68"/>
      <c r="E2" s="68"/>
      <c r="F2" s="68"/>
    </row>
    <row r="3" spans="1:6" ht="15" customHeight="1" x14ac:dyDescent="0.25">
      <c r="A3" s="622" t="s">
        <v>357</v>
      </c>
      <c r="B3" s="622"/>
      <c r="C3" s="622"/>
      <c r="D3" s="622"/>
      <c r="E3" s="622"/>
      <c r="F3" s="622"/>
    </row>
    <row r="4" spans="1:6" ht="15" customHeight="1" x14ac:dyDescent="0.2">
      <c r="A4" s="705" t="s">
        <v>174</v>
      </c>
      <c r="B4" s="705"/>
      <c r="C4" s="705"/>
      <c r="D4" s="705"/>
      <c r="E4" s="705"/>
      <c r="F4" s="705"/>
    </row>
    <row r="5" spans="1:6" ht="15" customHeight="1" x14ac:dyDescent="0.25">
      <c r="A5" s="622" t="s">
        <v>287</v>
      </c>
      <c r="B5" s="622"/>
      <c r="C5" s="622"/>
      <c r="D5" s="622"/>
      <c r="E5" s="622"/>
      <c r="F5" s="622"/>
    </row>
    <row r="6" spans="1:6" ht="15" customHeight="1" x14ac:dyDescent="0.25">
      <c r="A6" s="98"/>
      <c r="B6" s="98"/>
      <c r="C6" s="98"/>
      <c r="D6" s="98"/>
      <c r="E6" s="98"/>
      <c r="F6" s="98"/>
    </row>
    <row r="7" spans="1:6" ht="15" customHeight="1" thickBot="1" x14ac:dyDescent="0.3">
      <c r="B7" s="70"/>
      <c r="C7" s="71"/>
      <c r="D7" s="71"/>
      <c r="E7" s="71"/>
      <c r="F7" s="71" t="s">
        <v>252</v>
      </c>
    </row>
    <row r="8" spans="1:6" ht="15" customHeight="1" x14ac:dyDescent="0.2">
      <c r="A8" s="708" t="s">
        <v>9</v>
      </c>
      <c r="B8" s="710" t="s">
        <v>114</v>
      </c>
      <c r="C8" s="712" t="s">
        <v>288</v>
      </c>
      <c r="D8" s="712" t="s">
        <v>289</v>
      </c>
      <c r="E8" s="701" t="s">
        <v>290</v>
      </c>
      <c r="F8" s="703" t="s">
        <v>115</v>
      </c>
    </row>
    <row r="9" spans="1:6" ht="15" customHeight="1" x14ac:dyDescent="0.2">
      <c r="A9" s="709"/>
      <c r="B9" s="711"/>
      <c r="C9" s="713"/>
      <c r="D9" s="713"/>
      <c r="E9" s="702"/>
      <c r="F9" s="704"/>
    </row>
    <row r="10" spans="1:6" ht="15" customHeight="1" thickBot="1" x14ac:dyDescent="0.25">
      <c r="A10" s="736"/>
      <c r="B10" s="737"/>
      <c r="C10" s="713"/>
      <c r="D10" s="713"/>
      <c r="E10" s="702"/>
      <c r="F10" s="704"/>
    </row>
    <row r="11" spans="1:6" s="76" customFormat="1" ht="20.100000000000001" customHeight="1" x14ac:dyDescent="0.2">
      <c r="A11" s="716" t="s">
        <v>121</v>
      </c>
      <c r="B11" s="717"/>
      <c r="C11" s="717"/>
      <c r="D11" s="717"/>
      <c r="E11" s="717"/>
      <c r="F11" s="718"/>
    </row>
    <row r="12" spans="1:6" s="76" customFormat="1" ht="20.100000000000001" customHeight="1" x14ac:dyDescent="0.2">
      <c r="A12" s="719" t="s">
        <v>126</v>
      </c>
      <c r="B12" s="720"/>
      <c r="C12" s="720"/>
      <c r="D12" s="720"/>
      <c r="E12" s="720"/>
      <c r="F12" s="721"/>
    </row>
    <row r="13" spans="1:6" s="76" customFormat="1" ht="20.100000000000001" customHeight="1" x14ac:dyDescent="0.2">
      <c r="A13" s="306" t="s">
        <v>1</v>
      </c>
      <c r="B13" s="310" t="s">
        <v>372</v>
      </c>
      <c r="C13" s="267">
        <v>2000000</v>
      </c>
      <c r="D13" s="267">
        <v>2000000</v>
      </c>
      <c r="E13" s="267">
        <v>2000000</v>
      </c>
      <c r="F13" s="88">
        <f>+E13/D13*100</f>
        <v>100</v>
      </c>
    </row>
    <row r="14" spans="1:6" s="76" customFormat="1" ht="20.100000000000001" customHeight="1" x14ac:dyDescent="0.2">
      <c r="A14" s="306" t="s">
        <v>2</v>
      </c>
      <c r="B14" s="311" t="s">
        <v>373</v>
      </c>
      <c r="C14" s="267">
        <v>500000</v>
      </c>
      <c r="D14" s="267">
        <v>500000</v>
      </c>
      <c r="E14" s="267">
        <v>500000</v>
      </c>
      <c r="F14" s="88">
        <f>+E14/D14*100</f>
        <v>100</v>
      </c>
    </row>
    <row r="15" spans="1:6" s="76" customFormat="1" ht="20.100000000000001" customHeight="1" x14ac:dyDescent="0.2">
      <c r="A15" s="215" t="s">
        <v>4</v>
      </c>
      <c r="B15" s="308" t="s">
        <v>306</v>
      </c>
      <c r="C15" s="288">
        <v>0</v>
      </c>
      <c r="D15" s="267">
        <v>17395794</v>
      </c>
      <c r="E15" s="267">
        <v>17395794</v>
      </c>
      <c r="F15" s="88">
        <f t="shared" ref="F15:F26" si="0">+E15/D15*100</f>
        <v>100</v>
      </c>
    </row>
    <row r="16" spans="1:6" s="76" customFormat="1" ht="20.100000000000001" customHeight="1" x14ac:dyDescent="0.2">
      <c r="A16" s="215" t="s">
        <v>5</v>
      </c>
      <c r="B16" s="308" t="s">
        <v>307</v>
      </c>
      <c r="C16" s="288">
        <v>0</v>
      </c>
      <c r="D16" s="267">
        <v>1846904</v>
      </c>
      <c r="E16" s="267">
        <v>1846904</v>
      </c>
      <c r="F16" s="88">
        <f t="shared" si="0"/>
        <v>100</v>
      </c>
    </row>
    <row r="17" spans="1:6" s="76" customFormat="1" ht="20.100000000000001" customHeight="1" x14ac:dyDescent="0.2">
      <c r="A17" s="215" t="s">
        <v>7</v>
      </c>
      <c r="B17" s="308" t="s">
        <v>308</v>
      </c>
      <c r="C17" s="289">
        <v>0</v>
      </c>
      <c r="D17" s="307">
        <v>7299129</v>
      </c>
      <c r="E17" s="267">
        <v>0</v>
      </c>
      <c r="F17" s="88">
        <f t="shared" si="0"/>
        <v>0</v>
      </c>
    </row>
    <row r="18" spans="1:6" s="76" customFormat="1" ht="20.100000000000001" customHeight="1" x14ac:dyDescent="0.2">
      <c r="A18" s="215" t="s">
        <v>27</v>
      </c>
      <c r="B18" s="308" t="s">
        <v>309</v>
      </c>
      <c r="C18" s="289">
        <v>0</v>
      </c>
      <c r="D18" s="267">
        <v>1376483</v>
      </c>
      <c r="E18" s="267">
        <v>0</v>
      </c>
      <c r="F18" s="88">
        <f t="shared" si="0"/>
        <v>0</v>
      </c>
    </row>
    <row r="19" spans="1:6" s="76" customFormat="1" ht="20.100000000000001" customHeight="1" x14ac:dyDescent="0.2">
      <c r="A19" s="215" t="s">
        <v>81</v>
      </c>
      <c r="B19" s="308" t="s">
        <v>310</v>
      </c>
      <c r="C19" s="289">
        <v>0</v>
      </c>
      <c r="D19" s="267">
        <v>13734270</v>
      </c>
      <c r="E19" s="267">
        <v>13734270</v>
      </c>
      <c r="F19" s="88">
        <f t="shared" si="0"/>
        <v>100</v>
      </c>
    </row>
    <row r="20" spans="1:6" s="76" customFormat="1" ht="20.100000000000001" customHeight="1" x14ac:dyDescent="0.2">
      <c r="A20" s="215" t="s">
        <v>82</v>
      </c>
      <c r="B20" s="308" t="s">
        <v>311</v>
      </c>
      <c r="C20" s="289">
        <v>0</v>
      </c>
      <c r="D20" s="267">
        <v>2227512</v>
      </c>
      <c r="E20" s="267">
        <v>2227512</v>
      </c>
      <c r="F20" s="88">
        <f t="shared" si="0"/>
        <v>100</v>
      </c>
    </row>
    <row r="21" spans="1:6" s="76" customFormat="1" ht="20.100000000000001" customHeight="1" x14ac:dyDescent="0.2">
      <c r="A21" s="215" t="s">
        <v>93</v>
      </c>
      <c r="B21" s="308" t="s">
        <v>312</v>
      </c>
      <c r="C21" s="289">
        <v>0</v>
      </c>
      <c r="D21" s="267">
        <v>16298511</v>
      </c>
      <c r="E21" s="267">
        <v>0</v>
      </c>
      <c r="F21" s="88">
        <f t="shared" si="0"/>
        <v>0</v>
      </c>
    </row>
    <row r="22" spans="1:6" s="76" customFormat="1" ht="20.100000000000001" customHeight="1" x14ac:dyDescent="0.2">
      <c r="A22" s="215" t="s">
        <v>131</v>
      </c>
      <c r="B22" s="308" t="s">
        <v>313</v>
      </c>
      <c r="C22" s="289">
        <v>0</v>
      </c>
      <c r="D22" s="267">
        <v>2033193</v>
      </c>
      <c r="E22" s="267">
        <v>0</v>
      </c>
      <c r="F22" s="88">
        <f t="shared" si="0"/>
        <v>0</v>
      </c>
    </row>
    <row r="23" spans="1:6" s="76" customFormat="1" ht="20.100000000000001" customHeight="1" x14ac:dyDescent="0.2">
      <c r="A23" s="215" t="s">
        <v>132</v>
      </c>
      <c r="B23" s="308" t="s">
        <v>314</v>
      </c>
      <c r="C23" s="289">
        <v>0</v>
      </c>
      <c r="D23" s="307">
        <v>17941118</v>
      </c>
      <c r="E23" s="267">
        <v>0</v>
      </c>
      <c r="F23" s="88">
        <f t="shared" si="0"/>
        <v>0</v>
      </c>
    </row>
    <row r="24" spans="1:6" s="76" customFormat="1" ht="20.100000000000001" customHeight="1" x14ac:dyDescent="0.2">
      <c r="A24" s="215" t="s">
        <v>136</v>
      </c>
      <c r="B24" s="308" t="s">
        <v>315</v>
      </c>
      <c r="C24" s="289">
        <v>0</v>
      </c>
      <c r="D24" s="267">
        <v>1770822</v>
      </c>
      <c r="E24" s="267">
        <v>0</v>
      </c>
      <c r="F24" s="88">
        <f t="shared" si="0"/>
        <v>0</v>
      </c>
    </row>
    <row r="25" spans="1:6" s="76" customFormat="1" ht="20.100000000000001" customHeight="1" x14ac:dyDescent="0.2">
      <c r="A25" s="215" t="s">
        <v>154</v>
      </c>
      <c r="B25" s="308" t="s">
        <v>316</v>
      </c>
      <c r="C25" s="289">
        <v>0</v>
      </c>
      <c r="D25" s="309">
        <v>10000000</v>
      </c>
      <c r="E25" s="267">
        <v>10000000</v>
      </c>
      <c r="F25" s="88">
        <f t="shared" si="0"/>
        <v>100</v>
      </c>
    </row>
    <row r="26" spans="1:6" s="76" customFormat="1" ht="20.100000000000001" customHeight="1" x14ac:dyDescent="0.2">
      <c r="A26" s="215" t="s">
        <v>162</v>
      </c>
      <c r="B26" s="308" t="s">
        <v>317</v>
      </c>
      <c r="C26" s="288">
        <v>0</v>
      </c>
      <c r="D26" s="309">
        <v>847500</v>
      </c>
      <c r="E26" s="267">
        <v>0</v>
      </c>
      <c r="F26" s="88">
        <f t="shared" si="0"/>
        <v>0</v>
      </c>
    </row>
    <row r="27" spans="1:6" s="76" customFormat="1" ht="20.100000000000001" customHeight="1" x14ac:dyDescent="0.2">
      <c r="A27" s="722" t="s">
        <v>127</v>
      </c>
      <c r="B27" s="723"/>
      <c r="C27" s="264">
        <f>SUM(C13:C26)</f>
        <v>2500000</v>
      </c>
      <c r="D27" s="264">
        <f t="shared" ref="D27:E27" si="1">SUM(D13:D26)</f>
        <v>95271236</v>
      </c>
      <c r="E27" s="264">
        <f t="shared" si="1"/>
        <v>47704480</v>
      </c>
      <c r="F27" s="312">
        <f>+E27/D27*100</f>
        <v>50.072279948168195</v>
      </c>
    </row>
    <row r="28" spans="1:6" s="77" customFormat="1" ht="20.100000000000001" customHeight="1" x14ac:dyDescent="0.2">
      <c r="A28" s="719" t="s">
        <v>128</v>
      </c>
      <c r="B28" s="720"/>
      <c r="C28" s="724"/>
      <c r="D28" s="724"/>
      <c r="E28" s="720"/>
      <c r="F28" s="725"/>
    </row>
    <row r="29" spans="1:6" s="77" customFormat="1" ht="20.100000000000001" customHeight="1" x14ac:dyDescent="0.2">
      <c r="A29" s="313" t="s">
        <v>165</v>
      </c>
      <c r="B29" s="93" t="s">
        <v>261</v>
      </c>
      <c r="C29" s="216">
        <v>50000</v>
      </c>
      <c r="D29" s="216">
        <v>0</v>
      </c>
      <c r="E29" s="267">
        <v>0</v>
      </c>
      <c r="F29" s="88">
        <v>0</v>
      </c>
    </row>
    <row r="30" spans="1:6" s="77" customFormat="1" ht="20.100000000000001" customHeight="1" x14ac:dyDescent="0.2">
      <c r="A30" s="314" t="s">
        <v>166</v>
      </c>
      <c r="B30" s="93" t="s">
        <v>262</v>
      </c>
      <c r="C30" s="216">
        <v>10500000</v>
      </c>
      <c r="D30" s="216">
        <v>10500000</v>
      </c>
      <c r="E30" s="267">
        <v>10500000</v>
      </c>
      <c r="F30" s="88">
        <f t="shared" ref="F30:F38" si="2">+E30/D30*100</f>
        <v>100</v>
      </c>
    </row>
    <row r="31" spans="1:6" s="77" customFormat="1" ht="20.100000000000001" customHeight="1" x14ac:dyDescent="0.2">
      <c r="A31" s="314" t="s">
        <v>169</v>
      </c>
      <c r="B31" s="93" t="s">
        <v>263</v>
      </c>
      <c r="C31" s="216">
        <v>10500000</v>
      </c>
      <c r="D31" s="216">
        <v>10000000</v>
      </c>
      <c r="E31" s="267">
        <v>10000000</v>
      </c>
      <c r="F31" s="88">
        <f t="shared" si="2"/>
        <v>100</v>
      </c>
    </row>
    <row r="32" spans="1:6" s="77" customFormat="1" ht="20.100000000000001" customHeight="1" x14ac:dyDescent="0.2">
      <c r="A32" s="314" t="s">
        <v>170</v>
      </c>
      <c r="B32" s="93" t="s">
        <v>264</v>
      </c>
      <c r="C32" s="216">
        <v>4000000</v>
      </c>
      <c r="D32" s="216">
        <v>2200000</v>
      </c>
      <c r="E32" s="267">
        <v>2200000</v>
      </c>
      <c r="F32" s="88">
        <f t="shared" si="2"/>
        <v>100</v>
      </c>
    </row>
    <row r="33" spans="1:10" s="77" customFormat="1" ht="20.100000000000001" customHeight="1" x14ac:dyDescent="0.2">
      <c r="A33" s="314" t="s">
        <v>185</v>
      </c>
      <c r="B33" s="93" t="s">
        <v>265</v>
      </c>
      <c r="C33" s="216">
        <v>3500000</v>
      </c>
      <c r="D33" s="216">
        <v>3450000</v>
      </c>
      <c r="E33" s="267">
        <v>3450000</v>
      </c>
      <c r="F33" s="88">
        <f t="shared" si="2"/>
        <v>100</v>
      </c>
    </row>
    <row r="34" spans="1:10" s="77" customFormat="1" ht="20.100000000000001" customHeight="1" x14ac:dyDescent="0.2">
      <c r="A34" s="215" t="s">
        <v>186</v>
      </c>
      <c r="B34" s="93" t="s">
        <v>266</v>
      </c>
      <c r="C34" s="216">
        <v>5600000</v>
      </c>
      <c r="D34" s="216">
        <v>5450000</v>
      </c>
      <c r="E34" s="267">
        <v>5380000</v>
      </c>
      <c r="F34" s="88">
        <f t="shared" si="2"/>
        <v>98.715596330275233</v>
      </c>
    </row>
    <row r="35" spans="1:10" s="77" customFormat="1" ht="20.100000000000001" customHeight="1" x14ac:dyDescent="0.2">
      <c r="A35" s="314" t="s">
        <v>187</v>
      </c>
      <c r="B35" s="93" t="s">
        <v>267</v>
      </c>
      <c r="C35" s="216">
        <v>7500000</v>
      </c>
      <c r="D35" s="216">
        <v>6850000</v>
      </c>
      <c r="E35" s="267">
        <v>6850000</v>
      </c>
      <c r="F35" s="88">
        <f t="shared" si="2"/>
        <v>100</v>
      </c>
    </row>
    <row r="36" spans="1:10" s="77" customFormat="1" ht="20.100000000000001" customHeight="1" x14ac:dyDescent="0.2">
      <c r="A36" s="314" t="s">
        <v>188</v>
      </c>
      <c r="B36" s="315" t="s">
        <v>147</v>
      </c>
      <c r="C36" s="212">
        <v>200000</v>
      </c>
      <c r="D36" s="212">
        <v>0</v>
      </c>
      <c r="E36" s="267">
        <v>0</v>
      </c>
      <c r="F36" s="88">
        <v>0</v>
      </c>
    </row>
    <row r="37" spans="1:10" s="77" customFormat="1" ht="20.100000000000001" customHeight="1" x14ac:dyDescent="0.2">
      <c r="A37" s="726" t="s">
        <v>129</v>
      </c>
      <c r="B37" s="727"/>
      <c r="C37" s="264">
        <f>SUM(C29:C36)</f>
        <v>41850000</v>
      </c>
      <c r="D37" s="264">
        <f>SUM(D29:D36)</f>
        <v>38450000</v>
      </c>
      <c r="E37" s="264">
        <f>SUM(E29:E36)</f>
        <v>38380000</v>
      </c>
      <c r="F37" s="95">
        <f t="shared" si="2"/>
        <v>99.817945383615083</v>
      </c>
      <c r="J37" s="92"/>
    </row>
    <row r="38" spans="1:10" s="77" customFormat="1" ht="20.100000000000001" customHeight="1" thickBot="1" x14ac:dyDescent="0.25">
      <c r="A38" s="728" t="s">
        <v>122</v>
      </c>
      <c r="B38" s="729"/>
      <c r="C38" s="265">
        <f>+C37+C27</f>
        <v>44350000</v>
      </c>
      <c r="D38" s="265">
        <f>+D37+D27</f>
        <v>133721236</v>
      </c>
      <c r="E38" s="265">
        <f>+E37+E27</f>
        <v>86084480</v>
      </c>
      <c r="F38" s="101">
        <f t="shared" si="2"/>
        <v>64.376072623199505</v>
      </c>
    </row>
    <row r="39" spans="1:10" s="77" customFormat="1" ht="20.100000000000001" customHeight="1" x14ac:dyDescent="0.2">
      <c r="A39" s="716" t="s">
        <v>123</v>
      </c>
      <c r="B39" s="717"/>
      <c r="C39" s="717"/>
      <c r="D39" s="717"/>
      <c r="E39" s="717"/>
      <c r="F39" s="718"/>
    </row>
    <row r="40" spans="1:10" s="77" customFormat="1" ht="20.100000000000001" customHeight="1" x14ac:dyDescent="0.2">
      <c r="A40" s="730" t="s">
        <v>128</v>
      </c>
      <c r="B40" s="731"/>
      <c r="C40" s="732"/>
      <c r="D40" s="732"/>
      <c r="E40" s="731"/>
      <c r="F40" s="733"/>
    </row>
    <row r="41" spans="1:10" s="79" customFormat="1" ht="20.100000000000001" customHeight="1" x14ac:dyDescent="0.2">
      <c r="A41" s="306" t="s">
        <v>191</v>
      </c>
      <c r="B41" s="316" t="s">
        <v>116</v>
      </c>
      <c r="C41" s="213">
        <v>1000000</v>
      </c>
      <c r="D41" s="213">
        <v>1000000</v>
      </c>
      <c r="E41" s="267">
        <v>925933</v>
      </c>
      <c r="F41" s="88">
        <f t="shared" ref="F41:F45" si="3">+E41/D41*100</f>
        <v>92.593299999999999</v>
      </c>
    </row>
    <row r="42" spans="1:10" s="77" customFormat="1" ht="20.100000000000001" customHeight="1" x14ac:dyDescent="0.2">
      <c r="A42" s="215" t="s">
        <v>194</v>
      </c>
      <c r="B42" s="317" t="s">
        <v>130</v>
      </c>
      <c r="C42" s="213">
        <v>5000000</v>
      </c>
      <c r="D42" s="213">
        <v>3500000</v>
      </c>
      <c r="E42" s="267">
        <v>2197895</v>
      </c>
      <c r="F42" s="88">
        <f t="shared" si="3"/>
        <v>62.797000000000004</v>
      </c>
    </row>
    <row r="43" spans="1:10" s="78" customFormat="1" ht="20.100000000000001" customHeight="1" x14ac:dyDescent="0.2">
      <c r="A43" s="215" t="s">
        <v>197</v>
      </c>
      <c r="B43" s="318" t="s">
        <v>117</v>
      </c>
      <c r="C43" s="213">
        <v>3000000</v>
      </c>
      <c r="D43" s="213">
        <v>2600000</v>
      </c>
      <c r="E43" s="267">
        <v>2350000</v>
      </c>
      <c r="F43" s="88">
        <f t="shared" si="3"/>
        <v>90.384615384615387</v>
      </c>
    </row>
    <row r="44" spans="1:10" s="76" customFormat="1" ht="20.100000000000001" customHeight="1" x14ac:dyDescent="0.2">
      <c r="A44" s="215" t="s">
        <v>200</v>
      </c>
      <c r="B44" s="319" t="s">
        <v>135</v>
      </c>
      <c r="C44" s="213">
        <v>0</v>
      </c>
      <c r="D44" s="213">
        <v>300000</v>
      </c>
      <c r="E44" s="267">
        <v>60000</v>
      </c>
      <c r="F44" s="88">
        <f t="shared" si="3"/>
        <v>20</v>
      </c>
    </row>
    <row r="45" spans="1:10" s="76" customFormat="1" ht="20.100000000000001" customHeight="1" x14ac:dyDescent="0.2">
      <c r="A45" s="722" t="s">
        <v>133</v>
      </c>
      <c r="B45" s="723"/>
      <c r="C45" s="264">
        <f>SUM(C41:C44)</f>
        <v>9000000</v>
      </c>
      <c r="D45" s="264">
        <f>SUM(D41:D44)</f>
        <v>7400000</v>
      </c>
      <c r="E45" s="264">
        <f>SUM(E41:E44)</f>
        <v>5533828</v>
      </c>
      <c r="F45" s="95">
        <f t="shared" si="3"/>
        <v>74.781459459459455</v>
      </c>
    </row>
    <row r="46" spans="1:10" s="76" customFormat="1" ht="20.100000000000001" customHeight="1" x14ac:dyDescent="0.2">
      <c r="A46" s="734" t="s">
        <v>120</v>
      </c>
      <c r="B46" s="735"/>
      <c r="C46" s="266">
        <f>+C45</f>
        <v>9000000</v>
      </c>
      <c r="D46" s="266">
        <f t="shared" ref="D46:E46" si="4">+D45</f>
        <v>7400000</v>
      </c>
      <c r="E46" s="266">
        <f t="shared" si="4"/>
        <v>5533828</v>
      </c>
      <c r="F46" s="94">
        <f t="shared" ref="F46" si="5">+E46/D46*100</f>
        <v>74.781459459459455</v>
      </c>
    </row>
    <row r="47" spans="1:10" s="76" customFormat="1" ht="20.100000000000001" customHeight="1" thickBot="1" x14ac:dyDescent="0.25">
      <c r="A47" s="714" t="s">
        <v>134</v>
      </c>
      <c r="B47" s="715"/>
      <c r="C47" s="303">
        <f>+C46+C38</f>
        <v>53350000</v>
      </c>
      <c r="D47" s="304">
        <f>D46+D38</f>
        <v>141121236</v>
      </c>
      <c r="E47" s="304">
        <f>E38+E46</f>
        <v>91618308</v>
      </c>
      <c r="F47" s="305">
        <f>+E47/D47*100</f>
        <v>64.921701791217302</v>
      </c>
    </row>
  </sheetData>
  <mergeCells count="21">
    <mergeCell ref="A1:F1"/>
    <mergeCell ref="A3:F3"/>
    <mergeCell ref="A4:F4"/>
    <mergeCell ref="A5:F5"/>
    <mergeCell ref="A8:A10"/>
    <mergeCell ref="B8:B10"/>
    <mergeCell ref="C8:C10"/>
    <mergeCell ref="D8:D10"/>
    <mergeCell ref="E8:E10"/>
    <mergeCell ref="F8:F10"/>
    <mergeCell ref="A47:B47"/>
    <mergeCell ref="A11:F11"/>
    <mergeCell ref="A12:F12"/>
    <mergeCell ref="A27:B27"/>
    <mergeCell ref="A28:F28"/>
    <mergeCell ref="A37:B37"/>
    <mergeCell ref="A38:B38"/>
    <mergeCell ref="A39:F39"/>
    <mergeCell ref="A40:F40"/>
    <mergeCell ref="A45:B45"/>
    <mergeCell ref="A46:B46"/>
  </mergeCells>
  <phoneticPr fontId="9" type="noConversion"/>
  <printOptions horizontalCentered="1"/>
  <pageMargins left="0.19685039370078741" right="0.19685039370078741" top="0" bottom="0" header="0.98425196850393704" footer="0.51181102362204722"/>
  <pageSetup paperSize="9" scale="90" orientation="landscape" r:id="rId1"/>
  <headerFooter alignWithMargins="0"/>
  <rowBreaks count="1" manualBreakCount="1">
    <brk id="38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 tint="0.59999389629810485"/>
  </sheetPr>
  <dimension ref="A1:H34"/>
  <sheetViews>
    <sheetView zoomScaleNormal="100" workbookViewId="0">
      <selection activeCell="B37" sqref="B37"/>
    </sheetView>
  </sheetViews>
  <sheetFormatPr defaultRowHeight="12.75" x14ac:dyDescent="0.2"/>
  <cols>
    <col min="1" max="1" width="6.42578125" customWidth="1"/>
    <col min="2" max="2" width="118.7109375" customWidth="1"/>
    <col min="3" max="3" width="13.28515625" customWidth="1"/>
    <col min="4" max="4" width="13" customWidth="1"/>
    <col min="5" max="5" width="13.28515625" customWidth="1"/>
    <col min="6" max="6" width="10.140625" customWidth="1"/>
  </cols>
  <sheetData>
    <row r="1" spans="1:7" ht="14.25" x14ac:dyDescent="0.2">
      <c r="B1" s="458" t="s">
        <v>286</v>
      </c>
      <c r="C1" s="458"/>
      <c r="D1" s="458"/>
      <c r="E1" s="458"/>
      <c r="F1" s="458"/>
    </row>
    <row r="2" spans="1:7" ht="14.25" x14ac:dyDescent="0.2">
      <c r="A2" s="47"/>
      <c r="B2" s="458"/>
      <c r="C2" s="458"/>
      <c r="D2" s="458"/>
      <c r="E2" s="458"/>
      <c r="F2" s="458"/>
    </row>
    <row r="3" spans="1:7" ht="15.75" x14ac:dyDescent="0.25">
      <c r="A3" s="470" t="s">
        <v>357</v>
      </c>
      <c r="B3" s="470"/>
      <c r="C3" s="470"/>
      <c r="D3" s="470"/>
      <c r="E3" s="470"/>
      <c r="F3" s="470"/>
    </row>
    <row r="4" spans="1:7" ht="15.75" x14ac:dyDescent="0.25">
      <c r="A4" s="576" t="s">
        <v>94</v>
      </c>
      <c r="B4" s="576"/>
      <c r="C4" s="576"/>
      <c r="D4" s="576"/>
      <c r="E4" s="576"/>
      <c r="F4" s="576"/>
    </row>
    <row r="5" spans="1:7" ht="15.75" x14ac:dyDescent="0.25">
      <c r="A5" s="622" t="s">
        <v>287</v>
      </c>
      <c r="B5" s="622"/>
      <c r="C5" s="622"/>
      <c r="D5" s="622"/>
      <c r="E5" s="622"/>
      <c r="F5" s="622"/>
      <c r="G5" s="21"/>
    </row>
    <row r="6" spans="1:7" ht="15.75" x14ac:dyDescent="0.25">
      <c r="A6" s="98"/>
      <c r="B6" s="98"/>
      <c r="C6" s="98"/>
      <c r="D6" s="98"/>
      <c r="E6" s="98"/>
      <c r="F6" s="98"/>
      <c r="G6" s="21"/>
    </row>
    <row r="7" spans="1:7" ht="16.5" thickBot="1" x14ac:dyDescent="0.3">
      <c r="A7" s="46"/>
      <c r="B7" s="15"/>
      <c r="C7" s="10"/>
      <c r="D7" s="10"/>
      <c r="E7" s="10"/>
      <c r="F7" s="10" t="s">
        <v>252</v>
      </c>
    </row>
    <row r="8" spans="1:7" ht="49.5" customHeight="1" thickBot="1" x14ac:dyDescent="0.25">
      <c r="A8" s="290" t="s">
        <v>9</v>
      </c>
      <c r="B8" s="291" t="s">
        <v>95</v>
      </c>
      <c r="C8" s="292" t="s">
        <v>288</v>
      </c>
      <c r="D8" s="292" t="s">
        <v>289</v>
      </c>
      <c r="E8" s="292" t="s">
        <v>290</v>
      </c>
      <c r="F8" s="293" t="s">
        <v>112</v>
      </c>
    </row>
    <row r="9" spans="1:7" ht="21.95" customHeight="1" x14ac:dyDescent="0.2">
      <c r="A9" s="740" t="s">
        <v>363</v>
      </c>
      <c r="B9" s="602"/>
      <c r="C9" s="602"/>
      <c r="D9" s="602"/>
      <c r="E9" s="602"/>
      <c r="F9" s="741"/>
    </row>
    <row r="10" spans="1:7" ht="18" customHeight="1" x14ac:dyDescent="0.25">
      <c r="A10" s="53" t="s">
        <v>1</v>
      </c>
      <c r="B10" s="52" t="s">
        <v>279</v>
      </c>
      <c r="C10" s="209">
        <v>3175000</v>
      </c>
      <c r="D10" s="209">
        <v>3175000</v>
      </c>
      <c r="E10" s="212">
        <v>2317706</v>
      </c>
      <c r="F10" s="80">
        <f>+E10/D10*100</f>
        <v>72.998614173228347</v>
      </c>
      <c r="G10" s="21"/>
    </row>
    <row r="11" spans="1:7" ht="18" customHeight="1" x14ac:dyDescent="0.25">
      <c r="A11" s="53" t="s">
        <v>2</v>
      </c>
      <c r="B11" s="300" t="s">
        <v>292</v>
      </c>
      <c r="C11" s="209">
        <v>40424100</v>
      </c>
      <c r="D11" s="209">
        <v>40424100</v>
      </c>
      <c r="E11" s="212">
        <v>29184600</v>
      </c>
      <c r="F11" s="80">
        <f t="shared" ref="F11:F32" si="0">+E11/D11*100</f>
        <v>72.19604147031103</v>
      </c>
      <c r="G11" s="21"/>
    </row>
    <row r="12" spans="1:7" ht="18" customHeight="1" x14ac:dyDescent="0.25">
      <c r="A12" s="53" t="s">
        <v>4</v>
      </c>
      <c r="B12" s="300" t="s">
        <v>293</v>
      </c>
      <c r="C12" s="209">
        <v>7200000</v>
      </c>
      <c r="D12" s="209">
        <v>37287200</v>
      </c>
      <c r="E12" s="212">
        <v>0</v>
      </c>
      <c r="F12" s="80">
        <f t="shared" si="0"/>
        <v>0</v>
      </c>
      <c r="G12" s="99"/>
    </row>
    <row r="13" spans="1:7" ht="18" customHeight="1" x14ac:dyDescent="0.25">
      <c r="A13" s="53" t="s">
        <v>5</v>
      </c>
      <c r="B13" s="300" t="s">
        <v>294</v>
      </c>
      <c r="C13" s="209">
        <v>81445000</v>
      </c>
      <c r="D13" s="209">
        <v>81445000</v>
      </c>
      <c r="E13" s="212">
        <v>68408169</v>
      </c>
      <c r="F13" s="80">
        <v>0</v>
      </c>
      <c r="G13" s="21"/>
    </row>
    <row r="14" spans="1:7" ht="18" customHeight="1" x14ac:dyDescent="0.25">
      <c r="A14" s="53" t="s">
        <v>7</v>
      </c>
      <c r="B14" s="300" t="s">
        <v>153</v>
      </c>
      <c r="C14" s="209">
        <v>37812054</v>
      </c>
      <c r="D14" s="209">
        <v>32710000</v>
      </c>
      <c r="E14" s="212">
        <v>32702500</v>
      </c>
      <c r="F14" s="80">
        <f t="shared" si="0"/>
        <v>99.977071232039123</v>
      </c>
      <c r="G14" s="21"/>
    </row>
    <row r="15" spans="1:7" s="100" customFormat="1" ht="18" customHeight="1" x14ac:dyDescent="0.25">
      <c r="A15" s="53" t="s">
        <v>27</v>
      </c>
      <c r="B15" s="300" t="s">
        <v>210</v>
      </c>
      <c r="C15" s="301">
        <v>2679700</v>
      </c>
      <c r="D15" s="209">
        <v>1966754</v>
      </c>
      <c r="E15" s="212">
        <v>1409700</v>
      </c>
      <c r="F15" s="80">
        <f t="shared" ref="F15" si="1">+E15/D15*100</f>
        <v>71.676478095379494</v>
      </c>
      <c r="G15" s="99"/>
    </row>
    <row r="16" spans="1:7" ht="18" customHeight="1" x14ac:dyDescent="0.25">
      <c r="A16" s="53" t="s">
        <v>81</v>
      </c>
      <c r="B16" s="300" t="s">
        <v>295</v>
      </c>
      <c r="C16" s="301">
        <v>0</v>
      </c>
      <c r="D16" s="209">
        <v>5815000</v>
      </c>
      <c r="E16" s="212">
        <v>5810250</v>
      </c>
      <c r="F16" s="80">
        <f t="shared" si="0"/>
        <v>99.918314703353388</v>
      </c>
      <c r="G16" s="21"/>
    </row>
    <row r="17" spans="1:8" s="270" customFormat="1" ht="18" customHeight="1" x14ac:dyDescent="0.25">
      <c r="A17" s="53" t="s">
        <v>82</v>
      </c>
      <c r="B17" s="300" t="s">
        <v>296</v>
      </c>
      <c r="C17" s="301">
        <v>83650528</v>
      </c>
      <c r="D17" s="209">
        <v>82400528</v>
      </c>
      <c r="E17" s="212">
        <v>62808498</v>
      </c>
      <c r="F17" s="80">
        <f t="shared" si="0"/>
        <v>76.22341691791101</v>
      </c>
      <c r="G17" s="21"/>
    </row>
    <row r="18" spans="1:8" ht="18" customHeight="1" x14ac:dyDescent="0.25">
      <c r="A18" s="53" t="s">
        <v>93</v>
      </c>
      <c r="B18" s="300" t="s">
        <v>253</v>
      </c>
      <c r="C18" s="209">
        <v>10033000</v>
      </c>
      <c r="D18" s="209">
        <v>10033000</v>
      </c>
      <c r="E18" s="212">
        <v>9906000</v>
      </c>
      <c r="F18" s="80">
        <f t="shared" si="0"/>
        <v>98.734177215189874</v>
      </c>
      <c r="G18" s="21"/>
    </row>
    <row r="19" spans="1:8" ht="18" customHeight="1" x14ac:dyDescent="0.25">
      <c r="A19" s="53" t="s">
        <v>131</v>
      </c>
      <c r="B19" s="300" t="s">
        <v>297</v>
      </c>
      <c r="C19" s="301"/>
      <c r="D19" s="209">
        <v>1250000</v>
      </c>
      <c r="E19" s="212">
        <v>1244600</v>
      </c>
      <c r="F19" s="80">
        <f t="shared" si="0"/>
        <v>99.567999999999998</v>
      </c>
      <c r="G19" s="21"/>
      <c r="H19" s="270"/>
    </row>
    <row r="20" spans="1:8" ht="18" customHeight="1" x14ac:dyDescent="0.25">
      <c r="A20" s="53" t="s">
        <v>132</v>
      </c>
      <c r="B20" s="300" t="s">
        <v>298</v>
      </c>
      <c r="C20" s="301">
        <v>41910000</v>
      </c>
      <c r="D20" s="209">
        <v>16637000</v>
      </c>
      <c r="E20" s="212">
        <v>0</v>
      </c>
      <c r="F20" s="80">
        <f t="shared" si="0"/>
        <v>0</v>
      </c>
      <c r="G20" s="21"/>
    </row>
    <row r="21" spans="1:8" ht="18" customHeight="1" x14ac:dyDescent="0.25">
      <c r="A21" s="53" t="s">
        <v>136</v>
      </c>
      <c r="B21" s="302" t="s">
        <v>254</v>
      </c>
      <c r="C21" s="301">
        <v>6500000</v>
      </c>
      <c r="D21" s="209">
        <v>6500000</v>
      </c>
      <c r="E21" s="212">
        <v>5907405</v>
      </c>
      <c r="F21" s="80">
        <f t="shared" si="0"/>
        <v>90.883153846153846</v>
      </c>
      <c r="G21" s="21"/>
    </row>
    <row r="22" spans="1:8" ht="18" customHeight="1" x14ac:dyDescent="0.25">
      <c r="A22" s="53" t="s">
        <v>154</v>
      </c>
      <c r="B22" s="302" t="s">
        <v>255</v>
      </c>
      <c r="C22" s="301">
        <v>3094743</v>
      </c>
      <c r="D22" s="209">
        <v>3092000</v>
      </c>
      <c r="E22" s="212">
        <v>3092000</v>
      </c>
      <c r="F22" s="80">
        <f t="shared" si="0"/>
        <v>100</v>
      </c>
      <c r="G22" s="21"/>
    </row>
    <row r="23" spans="1:8" ht="18" customHeight="1" x14ac:dyDescent="0.25">
      <c r="A23" s="53" t="s">
        <v>162</v>
      </c>
      <c r="B23" s="302" t="s">
        <v>299</v>
      </c>
      <c r="C23" s="209">
        <v>2000000</v>
      </c>
      <c r="D23" s="209">
        <v>2905000</v>
      </c>
      <c r="E23" s="212">
        <v>2905000</v>
      </c>
      <c r="F23" s="80">
        <f t="shared" si="0"/>
        <v>100</v>
      </c>
      <c r="G23" s="21"/>
    </row>
    <row r="24" spans="1:8" ht="18" customHeight="1" x14ac:dyDescent="0.25">
      <c r="A24" s="53" t="s">
        <v>165</v>
      </c>
      <c r="B24" s="302" t="s">
        <v>300</v>
      </c>
      <c r="C24" s="209">
        <v>0</v>
      </c>
      <c r="D24" s="209">
        <v>6350000</v>
      </c>
      <c r="E24" s="212">
        <v>2346612</v>
      </c>
      <c r="F24" s="80">
        <f t="shared" si="0"/>
        <v>36.954519685039372</v>
      </c>
      <c r="G24" s="21"/>
    </row>
    <row r="25" spans="1:8" ht="18" customHeight="1" x14ac:dyDescent="0.25">
      <c r="A25" s="53" t="s">
        <v>166</v>
      </c>
      <c r="B25" s="302" t="s">
        <v>301</v>
      </c>
      <c r="C25" s="209">
        <v>0</v>
      </c>
      <c r="D25" s="209">
        <v>27483222</v>
      </c>
      <c r="E25" s="212">
        <v>0</v>
      </c>
      <c r="F25" s="80">
        <f t="shared" si="0"/>
        <v>0</v>
      </c>
      <c r="G25" s="21"/>
    </row>
    <row r="26" spans="1:8" ht="18" customHeight="1" x14ac:dyDescent="0.25">
      <c r="A26" s="53" t="s">
        <v>169</v>
      </c>
      <c r="B26" s="302" t="s">
        <v>302</v>
      </c>
      <c r="C26" s="209">
        <v>0</v>
      </c>
      <c r="D26" s="209">
        <v>10000000</v>
      </c>
      <c r="E26" s="212">
        <v>0</v>
      </c>
      <c r="F26" s="80">
        <f t="shared" si="0"/>
        <v>0</v>
      </c>
      <c r="G26" s="21"/>
    </row>
    <row r="27" spans="1:8" ht="18" customHeight="1" x14ac:dyDescent="0.25">
      <c r="A27" s="53" t="s">
        <v>170</v>
      </c>
      <c r="B27" s="302" t="s">
        <v>303</v>
      </c>
      <c r="C27" s="209">
        <v>0</v>
      </c>
      <c r="D27" s="209">
        <v>500000</v>
      </c>
      <c r="E27" s="212">
        <v>17980</v>
      </c>
      <c r="F27" s="80">
        <f t="shared" si="0"/>
        <v>3.5960000000000001</v>
      </c>
      <c r="G27" s="21"/>
    </row>
    <row r="28" spans="1:8" s="54" customFormat="1" ht="21.95" customHeight="1" thickBot="1" x14ac:dyDescent="0.3">
      <c r="A28" s="742" t="s">
        <v>364</v>
      </c>
      <c r="B28" s="743"/>
      <c r="C28" s="294">
        <f>SUM(C10:C27)</f>
        <v>319924125</v>
      </c>
      <c r="D28" s="294">
        <f>SUM(D10:D27)</f>
        <v>369973804</v>
      </c>
      <c r="E28" s="294">
        <f>SUM(E10:E27)</f>
        <v>228061020</v>
      </c>
      <c r="F28" s="295">
        <f>+E28/D28*100</f>
        <v>61.642477800941819</v>
      </c>
      <c r="G28" s="21"/>
    </row>
    <row r="29" spans="1:8" ht="21.95" customHeight="1" x14ac:dyDescent="0.25">
      <c r="A29" s="744" t="s">
        <v>365</v>
      </c>
      <c r="B29" s="745"/>
      <c r="C29" s="745"/>
      <c r="D29" s="745"/>
      <c r="E29" s="745"/>
      <c r="F29" s="746"/>
      <c r="G29" s="21"/>
    </row>
    <row r="30" spans="1:8" s="86" customFormat="1" ht="18" customHeight="1" x14ac:dyDescent="0.25">
      <c r="A30" s="210" t="s">
        <v>1</v>
      </c>
      <c r="B30" s="52" t="s">
        <v>291</v>
      </c>
      <c r="C30" s="211">
        <v>635000</v>
      </c>
      <c r="D30" s="211">
        <v>635000</v>
      </c>
      <c r="E30" s="213">
        <v>0</v>
      </c>
      <c r="F30" s="84">
        <f t="shared" si="0"/>
        <v>0</v>
      </c>
      <c r="G30" s="85"/>
    </row>
    <row r="31" spans="1:8" s="54" customFormat="1" ht="21.95" customHeight="1" thickBot="1" x14ac:dyDescent="0.3">
      <c r="A31" s="747" t="s">
        <v>366</v>
      </c>
      <c r="B31" s="748"/>
      <c r="C31" s="296">
        <f>SUM(C30:C30)</f>
        <v>635000</v>
      </c>
      <c r="D31" s="296">
        <f>SUM(D30:D30)</f>
        <v>635000</v>
      </c>
      <c r="E31" s="296">
        <f>SUM(E30:E30)</f>
        <v>0</v>
      </c>
      <c r="F31" s="297">
        <f t="shared" si="0"/>
        <v>0</v>
      </c>
      <c r="G31" s="21"/>
    </row>
    <row r="32" spans="1:8" ht="21.95" customHeight="1" thickBot="1" x14ac:dyDescent="0.25">
      <c r="A32" s="738" t="s">
        <v>110</v>
      </c>
      <c r="B32" s="739"/>
      <c r="C32" s="298">
        <f>C28+C31</f>
        <v>320559125</v>
      </c>
      <c r="D32" s="298">
        <f>D28+D31</f>
        <v>370608804</v>
      </c>
      <c r="E32" s="298">
        <f>E28+E31</f>
        <v>228061020</v>
      </c>
      <c r="F32" s="299">
        <f t="shared" si="0"/>
        <v>61.536859766558592</v>
      </c>
    </row>
    <row r="33" spans="1:6" ht="21.95" customHeight="1" x14ac:dyDescent="0.2">
      <c r="A33" s="3"/>
      <c r="B33" s="3"/>
      <c r="C33" s="48"/>
      <c r="D33" s="48"/>
      <c r="E33" s="48"/>
      <c r="F33" s="48"/>
    </row>
    <row r="34" spans="1:6" ht="21.95" customHeight="1" x14ac:dyDescent="0.2"/>
  </sheetData>
  <mergeCells count="10">
    <mergeCell ref="B1:F1"/>
    <mergeCell ref="A3:F3"/>
    <mergeCell ref="A4:F4"/>
    <mergeCell ref="A5:F5"/>
    <mergeCell ref="A32:B32"/>
    <mergeCell ref="A9:F9"/>
    <mergeCell ref="A28:B28"/>
    <mergeCell ref="A29:F29"/>
    <mergeCell ref="A31:B31"/>
    <mergeCell ref="B2:F2"/>
  </mergeCells>
  <phoneticPr fontId="33" type="noConversion"/>
  <printOptions horizontalCentered="1"/>
  <pageMargins left="0.11811023622047245" right="0.11811023622047245" top="0.15748031496062992" bottom="0.15748031496062992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17</vt:i4>
      </vt:variant>
    </vt:vector>
  </HeadingPairs>
  <TitlesOfParts>
    <vt:vector size="27" baseType="lpstr">
      <vt:lpstr>1.</vt:lpstr>
      <vt:lpstr>2.</vt:lpstr>
      <vt:lpstr>3.</vt:lpstr>
      <vt:lpstr>4.</vt:lpstr>
      <vt:lpstr>5.</vt:lpstr>
      <vt:lpstr>6.</vt:lpstr>
      <vt:lpstr>7.</vt:lpstr>
      <vt:lpstr>8.</vt:lpstr>
      <vt:lpstr>9.</vt:lpstr>
      <vt:lpstr>10.</vt:lpstr>
      <vt:lpstr>'1.'!Nyomtatási_cím</vt:lpstr>
      <vt:lpstr>'10.'!Nyomtatási_cím</vt:lpstr>
      <vt:lpstr>'2.'!Nyomtatási_cím</vt:lpstr>
      <vt:lpstr>'3.'!Nyomtatási_cím</vt:lpstr>
      <vt:lpstr>'4.'!Nyomtatási_cím</vt:lpstr>
      <vt:lpstr>'5.'!Nyomtatási_cím</vt:lpstr>
      <vt:lpstr>'6.'!Nyomtatási_cím</vt:lpstr>
      <vt:lpstr>'7.'!Nyomtatási_cím</vt:lpstr>
      <vt:lpstr>'8.'!Nyomtatási_cím</vt:lpstr>
      <vt:lpstr>'1.'!Nyomtatási_terület</vt:lpstr>
      <vt:lpstr>'10.'!Nyomtatási_terület</vt:lpstr>
      <vt:lpstr>'2.'!Nyomtatási_terület</vt:lpstr>
      <vt:lpstr>'3.'!Nyomtatási_terület</vt:lpstr>
      <vt:lpstr>'4.'!Nyomtatási_terület</vt:lpstr>
      <vt:lpstr>'5.'!Nyomtatási_terület</vt:lpstr>
      <vt:lpstr>'7.'!Nyomtatási_terület</vt:lpstr>
      <vt:lpstr>'8.'!Nyomtatási_terület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Pénzügyi csoport</dc:creator>
  <cp:lastModifiedBy>Mar.Norbert</cp:lastModifiedBy>
  <cp:lastPrinted>2023-05-17T11:07:44Z</cp:lastPrinted>
  <dcterms:created xsi:type="dcterms:W3CDTF">2007-02-22T10:27:43Z</dcterms:created>
  <dcterms:modified xsi:type="dcterms:W3CDTF">2023-05-19T07:28:07Z</dcterms:modified>
</cp:coreProperties>
</file>