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.Norbert\Documents\2023. év\Közgyűlés\2023.05.26\2. Rendeletmódosítás\2023. évi költségvetés módosítása\Javított anyag!!!\Újabb javítás\"/>
    </mc:Choice>
  </mc:AlternateContent>
  <xr:revisionPtr revIDLastSave="0" documentId="13_ncr:1_{5E22DD32-B5E3-4E1E-A058-0E5120AF88ED}" xr6:coauthVersionLast="47" xr6:coauthVersionMax="47" xr10:uidLastSave="{00000000-0000-0000-0000-000000000000}"/>
  <bookViews>
    <workbookView xWindow="-120" yWindow="-120" windowWidth="29040" windowHeight="15840" tabRatio="841" activeTab="1" xr2:uid="{00000000-000D-0000-FFFF-FFFF00000000}"/>
  </bookViews>
  <sheets>
    <sheet name="1." sheetId="63" r:id="rId1"/>
    <sheet name="2." sheetId="53" r:id="rId2"/>
    <sheet name="3." sheetId="62" r:id="rId3"/>
    <sheet name="4." sheetId="70" r:id="rId4"/>
    <sheet name="5." sheetId="71" r:id="rId5"/>
    <sheet name="6." sheetId="72" r:id="rId6"/>
    <sheet name="7." sheetId="73" r:id="rId7"/>
    <sheet name="8." sheetId="68" r:id="rId8"/>
    <sheet name="9." sheetId="69" r:id="rId9"/>
  </sheets>
  <definedNames>
    <definedName name="_xlnm.Print_Titles" localSheetId="0">'1.'!$1:$11</definedName>
    <definedName name="_xlnm.Print_Titles" localSheetId="1">'2.'!$1:$11</definedName>
    <definedName name="_xlnm.Print_Titles" localSheetId="2">'3.'!$1:$11</definedName>
    <definedName name="_xlnm.Print_Titles" localSheetId="7">'8.'!$1:$10</definedName>
    <definedName name="_xlnm.Print_Area" localSheetId="0">'1.'!$A$1:$N$71</definedName>
    <definedName name="_xlnm.Print_Area" localSheetId="1">'2.'!$A$1:$N$71</definedName>
    <definedName name="_xlnm.Print_Area" localSheetId="2">'3.'!$A$1:$N$71</definedName>
    <definedName name="_xlnm.Print_Area" localSheetId="3">'4.'!$A$1:$L$42</definedName>
    <definedName name="_xlnm.Print_Area" localSheetId="4">'5.'!$A$1:$L$78</definedName>
    <definedName name="_xlnm.Print_Area" localSheetId="5">'6.'!$A$1:$K$82</definedName>
    <definedName name="_xlnm.Print_Area" localSheetId="7">'8.'!$A$1:$F$38</definedName>
    <definedName name="_xlnm.Print_Area" localSheetId="8">'9.'!$A$1:$E$31</definedName>
  </definedNames>
  <calcPr calcId="181029"/>
</workbook>
</file>

<file path=xl/calcChain.xml><?xml version="1.0" encoding="utf-8"?>
<calcChain xmlns="http://schemas.openxmlformats.org/spreadsheetml/2006/main">
  <c r="M23" i="53" l="1"/>
  <c r="M15" i="53"/>
  <c r="H45" i="72"/>
  <c r="F45" i="72"/>
  <c r="I69" i="72"/>
  <c r="I70" i="71"/>
  <c r="G32" i="70"/>
  <c r="I32" i="70"/>
  <c r="M66" i="53"/>
  <c r="M44" i="53"/>
  <c r="M19" i="62"/>
  <c r="M15" i="62"/>
  <c r="F67" i="62"/>
  <c r="J25" i="70"/>
  <c r="I25" i="70"/>
  <c r="J48" i="72"/>
  <c r="H48" i="72"/>
  <c r="H54" i="72" l="1"/>
  <c r="F54" i="72"/>
  <c r="J42" i="72"/>
  <c r="H42" i="72"/>
  <c r="J23" i="70"/>
  <c r="I23" i="70"/>
  <c r="M23" i="62"/>
  <c r="H51" i="72"/>
  <c r="G16" i="71"/>
  <c r="G13" i="71"/>
  <c r="E14" i="70"/>
  <c r="E13" i="70"/>
  <c r="E27" i="69"/>
  <c r="M33" i="53"/>
  <c r="M32" i="53"/>
  <c r="M19" i="53"/>
  <c r="D27" i="69"/>
  <c r="C27" i="69"/>
  <c r="E26" i="69"/>
  <c r="E64" i="62" l="1"/>
  <c r="M31" i="53"/>
  <c r="M34" i="53"/>
  <c r="F27" i="53"/>
  <c r="F13" i="73"/>
  <c r="F14" i="73"/>
  <c r="F15" i="73"/>
  <c r="F16" i="73"/>
  <c r="F17" i="73"/>
  <c r="F12" i="73"/>
  <c r="F18" i="73" s="1"/>
  <c r="D18" i="73"/>
  <c r="E18" i="73"/>
  <c r="E31" i="68"/>
  <c r="E38" i="68" s="1"/>
  <c r="D38" i="68"/>
  <c r="E30" i="68"/>
  <c r="F30" i="68"/>
  <c r="E25" i="69" l="1"/>
  <c r="F40" i="71"/>
  <c r="F76" i="71" s="1"/>
  <c r="F78" i="71" s="1"/>
  <c r="F15" i="62"/>
  <c r="D30" i="68"/>
  <c r="D31" i="68" s="1"/>
  <c r="F18" i="68"/>
  <c r="F19" i="68"/>
  <c r="F20" i="68"/>
  <c r="F21" i="68"/>
  <c r="F22" i="68"/>
  <c r="F23" i="68"/>
  <c r="F24" i="68"/>
  <c r="F25" i="68"/>
  <c r="F26" i="68"/>
  <c r="F27" i="68"/>
  <c r="F28" i="68"/>
  <c r="F29" i="68"/>
  <c r="J76" i="72"/>
  <c r="I76" i="72"/>
  <c r="H76" i="72"/>
  <c r="G76" i="72"/>
  <c r="F76" i="72"/>
  <c r="J75" i="72"/>
  <c r="J77" i="72" s="1"/>
  <c r="H75" i="72"/>
  <c r="H77" i="72" s="1"/>
  <c r="G75" i="72"/>
  <c r="G77" i="72" s="1"/>
  <c r="F75" i="72"/>
  <c r="F77" i="72" s="1"/>
  <c r="J74" i="72"/>
  <c r="I74" i="72"/>
  <c r="H74" i="72"/>
  <c r="G74" i="72"/>
  <c r="F74" i="72"/>
  <c r="K73" i="72"/>
  <c r="K72" i="72"/>
  <c r="K74" i="72" s="1"/>
  <c r="J71" i="72"/>
  <c r="I71" i="72"/>
  <c r="H71" i="72"/>
  <c r="G71" i="72"/>
  <c r="F71" i="72"/>
  <c r="K70" i="72"/>
  <c r="K69" i="72"/>
  <c r="K71" i="72" s="1"/>
  <c r="J68" i="72"/>
  <c r="H68" i="72"/>
  <c r="G68" i="72"/>
  <c r="F68" i="72"/>
  <c r="K67" i="72"/>
  <c r="I66" i="72"/>
  <c r="I68" i="72" s="1"/>
  <c r="J65" i="72"/>
  <c r="I65" i="72"/>
  <c r="H65" i="72"/>
  <c r="G65" i="72"/>
  <c r="F65" i="72"/>
  <c r="K64" i="72"/>
  <c r="K63" i="72"/>
  <c r="J62" i="72"/>
  <c r="I62" i="72"/>
  <c r="H62" i="72"/>
  <c r="G62" i="72"/>
  <c r="F62" i="72"/>
  <c r="K61" i="72"/>
  <c r="K60" i="72"/>
  <c r="K62" i="72" s="1"/>
  <c r="J59" i="72"/>
  <c r="I59" i="72"/>
  <c r="H59" i="72"/>
  <c r="G59" i="72"/>
  <c r="F59" i="72"/>
  <c r="K58" i="72"/>
  <c r="K57" i="72"/>
  <c r="K59" i="72" s="1"/>
  <c r="J56" i="72"/>
  <c r="I56" i="72"/>
  <c r="H56" i="72"/>
  <c r="G56" i="72"/>
  <c r="F56" i="72"/>
  <c r="K55" i="72"/>
  <c r="K54" i="72"/>
  <c r="J53" i="72"/>
  <c r="I53" i="72"/>
  <c r="H53" i="72"/>
  <c r="G53" i="72"/>
  <c r="F53" i="72"/>
  <c r="K52" i="72"/>
  <c r="K51" i="72"/>
  <c r="J50" i="72"/>
  <c r="I50" i="72"/>
  <c r="H50" i="72"/>
  <c r="G50" i="72"/>
  <c r="F50" i="72"/>
  <c r="K49" i="72"/>
  <c r="K48" i="72"/>
  <c r="K50" i="72" s="1"/>
  <c r="J47" i="72"/>
  <c r="I47" i="72"/>
  <c r="H47" i="72"/>
  <c r="G47" i="72"/>
  <c r="F47" i="72"/>
  <c r="K46" i="72"/>
  <c r="K45" i="72"/>
  <c r="K47" i="72" s="1"/>
  <c r="J44" i="72"/>
  <c r="I44" i="72"/>
  <c r="H44" i="72"/>
  <c r="G44" i="72"/>
  <c r="F44" i="72"/>
  <c r="K43" i="72"/>
  <c r="K42" i="72"/>
  <c r="J41" i="72"/>
  <c r="I41" i="72"/>
  <c r="H41" i="72"/>
  <c r="G41" i="72"/>
  <c r="F41" i="72"/>
  <c r="K40" i="72"/>
  <c r="K39" i="72"/>
  <c r="J38" i="72"/>
  <c r="I38" i="72"/>
  <c r="H38" i="72"/>
  <c r="G38" i="72"/>
  <c r="F38" i="72"/>
  <c r="K37" i="72"/>
  <c r="K36" i="72"/>
  <c r="K38" i="72" s="1"/>
  <c r="J35" i="72"/>
  <c r="I35" i="72"/>
  <c r="H35" i="72"/>
  <c r="G35" i="72"/>
  <c r="F35" i="72"/>
  <c r="K34" i="72"/>
  <c r="K33" i="72"/>
  <c r="K35" i="72" s="1"/>
  <c r="J32" i="72"/>
  <c r="I32" i="72"/>
  <c r="H32" i="72"/>
  <c r="G32" i="72"/>
  <c r="F32" i="72"/>
  <c r="K31" i="72"/>
  <c r="K30" i="72"/>
  <c r="J29" i="72"/>
  <c r="I29" i="72"/>
  <c r="H29" i="72"/>
  <c r="G29" i="72"/>
  <c r="F29" i="72"/>
  <c r="K28" i="72"/>
  <c r="K27" i="72"/>
  <c r="J26" i="72"/>
  <c r="I26" i="72"/>
  <c r="H26" i="72"/>
  <c r="G26" i="72"/>
  <c r="F26" i="72"/>
  <c r="K25" i="72"/>
  <c r="K24" i="72"/>
  <c r="K26" i="72" s="1"/>
  <c r="J23" i="72"/>
  <c r="I23" i="72"/>
  <c r="H23" i="72"/>
  <c r="G23" i="72"/>
  <c r="F23" i="72"/>
  <c r="K22" i="72"/>
  <c r="K21" i="72"/>
  <c r="K23" i="72" s="1"/>
  <c r="J20" i="72"/>
  <c r="I20" i="72"/>
  <c r="H20" i="72"/>
  <c r="G20" i="72"/>
  <c r="F20" i="72"/>
  <c r="K19" i="72"/>
  <c r="K18" i="72"/>
  <c r="J17" i="72"/>
  <c r="I17" i="72"/>
  <c r="H17" i="72"/>
  <c r="G17" i="72"/>
  <c r="F17" i="72"/>
  <c r="K16" i="72"/>
  <c r="K15" i="72"/>
  <c r="J14" i="72"/>
  <c r="I14" i="72"/>
  <c r="H14" i="72"/>
  <c r="G14" i="72"/>
  <c r="F14" i="72"/>
  <c r="K13" i="72"/>
  <c r="K12" i="72"/>
  <c r="L37" i="70"/>
  <c r="J37" i="70"/>
  <c r="I37" i="70"/>
  <c r="G37" i="70"/>
  <c r="F37" i="70"/>
  <c r="F38" i="70" s="1"/>
  <c r="E37" i="70"/>
  <c r="K36" i="70"/>
  <c r="K37" i="70" s="1"/>
  <c r="H36" i="70"/>
  <c r="H37" i="70" s="1"/>
  <c r="J34" i="70"/>
  <c r="J38" i="70" s="1"/>
  <c r="I34" i="70"/>
  <c r="G34" i="70"/>
  <c r="G38" i="70" s="1"/>
  <c r="F34" i="70"/>
  <c r="E34" i="70"/>
  <c r="K33" i="70"/>
  <c r="H33" i="70"/>
  <c r="K32" i="70"/>
  <c r="H32" i="70"/>
  <c r="K31" i="70"/>
  <c r="H31" i="70"/>
  <c r="K30" i="70"/>
  <c r="H30" i="70"/>
  <c r="K29" i="70"/>
  <c r="H29" i="70"/>
  <c r="K28" i="70"/>
  <c r="H28" i="70"/>
  <c r="K27" i="70"/>
  <c r="H27" i="70"/>
  <c r="K26" i="70"/>
  <c r="H26" i="70"/>
  <c r="K25" i="70"/>
  <c r="H25" i="70"/>
  <c r="K24" i="70"/>
  <c r="H24" i="70"/>
  <c r="K23" i="70"/>
  <c r="H23" i="70"/>
  <c r="K22" i="70"/>
  <c r="H22" i="70"/>
  <c r="K21" i="70"/>
  <c r="L21" i="70" s="1"/>
  <c r="H21" i="70"/>
  <c r="K20" i="70"/>
  <c r="L20" i="70" s="1"/>
  <c r="H20" i="70"/>
  <c r="K19" i="70"/>
  <c r="H19" i="70"/>
  <c r="L19" i="70" s="1"/>
  <c r="L18" i="70"/>
  <c r="K18" i="70"/>
  <c r="H18" i="70"/>
  <c r="K17" i="70"/>
  <c r="L17" i="70" s="1"/>
  <c r="H17" i="70"/>
  <c r="K16" i="70"/>
  <c r="L16" i="70" s="1"/>
  <c r="H16" i="70"/>
  <c r="K15" i="70"/>
  <c r="H15" i="70"/>
  <c r="L15" i="70" s="1"/>
  <c r="K14" i="70"/>
  <c r="H14" i="70"/>
  <c r="K13" i="70"/>
  <c r="H13" i="70"/>
  <c r="K77" i="71"/>
  <c r="I77" i="71"/>
  <c r="H77" i="71"/>
  <c r="G77" i="71"/>
  <c r="F77" i="71"/>
  <c r="K76" i="71"/>
  <c r="K78" i="71" s="1"/>
  <c r="I76" i="71"/>
  <c r="I78" i="71" s="1"/>
  <c r="H76" i="71"/>
  <c r="H78" i="71" s="1"/>
  <c r="G76" i="71"/>
  <c r="G78" i="71" s="1"/>
  <c r="K75" i="71"/>
  <c r="I75" i="71"/>
  <c r="H75" i="71"/>
  <c r="G75" i="71"/>
  <c r="F75" i="71"/>
  <c r="L74" i="71"/>
  <c r="J73" i="71"/>
  <c r="L73" i="71" s="1"/>
  <c r="K72" i="71"/>
  <c r="I72" i="71"/>
  <c r="H72" i="71"/>
  <c r="G72" i="71"/>
  <c r="F72" i="71"/>
  <c r="L71" i="71"/>
  <c r="J70" i="71"/>
  <c r="J72" i="71" s="1"/>
  <c r="L72" i="71" s="1"/>
  <c r="K69" i="71"/>
  <c r="I69" i="71"/>
  <c r="H69" i="71"/>
  <c r="G69" i="71"/>
  <c r="F69" i="71"/>
  <c r="L68" i="71"/>
  <c r="J67" i="71"/>
  <c r="L67" i="71" s="1"/>
  <c r="K66" i="71"/>
  <c r="I66" i="71"/>
  <c r="H66" i="71"/>
  <c r="G66" i="71"/>
  <c r="F66" i="71"/>
  <c r="L65" i="71"/>
  <c r="J64" i="71"/>
  <c r="J66" i="71" s="1"/>
  <c r="L66" i="71" s="1"/>
  <c r="K63" i="71"/>
  <c r="I63" i="71"/>
  <c r="H63" i="71"/>
  <c r="G63" i="71"/>
  <c r="F63" i="71"/>
  <c r="L62" i="71"/>
  <c r="J61" i="71"/>
  <c r="L61" i="71" s="1"/>
  <c r="K60" i="71"/>
  <c r="I60" i="71"/>
  <c r="H60" i="71"/>
  <c r="G60" i="71"/>
  <c r="F60" i="71"/>
  <c r="L59" i="71"/>
  <c r="J58" i="71"/>
  <c r="J60" i="71" s="1"/>
  <c r="L60" i="71" s="1"/>
  <c r="K57" i="71"/>
  <c r="I57" i="71"/>
  <c r="H57" i="71"/>
  <c r="G57" i="71"/>
  <c r="F57" i="71"/>
  <c r="J56" i="71"/>
  <c r="L56" i="71" s="1"/>
  <c r="J55" i="71"/>
  <c r="L55" i="71" s="1"/>
  <c r="K54" i="71"/>
  <c r="I54" i="71"/>
  <c r="H54" i="71"/>
  <c r="G54" i="71"/>
  <c r="F54" i="71"/>
  <c r="J53" i="71"/>
  <c r="L53" i="71" s="1"/>
  <c r="J52" i="71"/>
  <c r="L52" i="71" s="1"/>
  <c r="K51" i="71"/>
  <c r="I51" i="71"/>
  <c r="H51" i="71"/>
  <c r="G51" i="71"/>
  <c r="F51" i="71"/>
  <c r="L50" i="71"/>
  <c r="J49" i="71"/>
  <c r="J51" i="71" s="1"/>
  <c r="L51" i="71" s="1"/>
  <c r="K48" i="71"/>
  <c r="I48" i="71"/>
  <c r="H48" i="71"/>
  <c r="G48" i="71"/>
  <c r="F48" i="71"/>
  <c r="L47" i="71"/>
  <c r="J46" i="71"/>
  <c r="L46" i="71" s="1"/>
  <c r="K45" i="71"/>
  <c r="I45" i="71"/>
  <c r="H45" i="71"/>
  <c r="G45" i="71"/>
  <c r="F45" i="71"/>
  <c r="L44" i="71"/>
  <c r="J43" i="71"/>
  <c r="J45" i="71" s="1"/>
  <c r="L45" i="71" s="1"/>
  <c r="K42" i="71"/>
  <c r="I42" i="71"/>
  <c r="H42" i="71"/>
  <c r="G42" i="71"/>
  <c r="F42" i="71"/>
  <c r="J41" i="71"/>
  <c r="J77" i="71" s="1"/>
  <c r="K39" i="71"/>
  <c r="J39" i="71"/>
  <c r="L39" i="71" s="1"/>
  <c r="I39" i="71"/>
  <c r="H39" i="71"/>
  <c r="G39" i="71"/>
  <c r="F39" i="71"/>
  <c r="L38" i="71"/>
  <c r="L37" i="71"/>
  <c r="J37" i="71"/>
  <c r="K36" i="71"/>
  <c r="I36" i="71"/>
  <c r="H36" i="71"/>
  <c r="G36" i="71"/>
  <c r="F36" i="71"/>
  <c r="L35" i="71"/>
  <c r="J34" i="71"/>
  <c r="J36" i="71" s="1"/>
  <c r="L36" i="71" s="1"/>
  <c r="K33" i="71"/>
  <c r="J33" i="71"/>
  <c r="L33" i="71" s="1"/>
  <c r="I33" i="71"/>
  <c r="H33" i="71"/>
  <c r="G33" i="71"/>
  <c r="F33" i="71"/>
  <c r="L32" i="71"/>
  <c r="L31" i="71"/>
  <c r="J31" i="71"/>
  <c r="K30" i="71"/>
  <c r="I30" i="71"/>
  <c r="H30" i="71"/>
  <c r="G30" i="71"/>
  <c r="F30" i="71"/>
  <c r="L29" i="71"/>
  <c r="J28" i="71"/>
  <c r="J30" i="71" s="1"/>
  <c r="L30" i="71" s="1"/>
  <c r="K27" i="71"/>
  <c r="J27" i="71"/>
  <c r="L27" i="71" s="1"/>
  <c r="I27" i="71"/>
  <c r="H27" i="71"/>
  <c r="G27" i="71"/>
  <c r="F27" i="71"/>
  <c r="L26" i="71"/>
  <c r="L25" i="71"/>
  <c r="J25" i="71"/>
  <c r="K24" i="71"/>
  <c r="I24" i="71"/>
  <c r="H24" i="71"/>
  <c r="G24" i="71"/>
  <c r="F24" i="71"/>
  <c r="L23" i="71"/>
  <c r="J22" i="71"/>
  <c r="J24" i="71" s="1"/>
  <c r="L24" i="71" s="1"/>
  <c r="K21" i="71"/>
  <c r="J21" i="71"/>
  <c r="L21" i="71" s="1"/>
  <c r="I21" i="71"/>
  <c r="H21" i="71"/>
  <c r="G21" i="71"/>
  <c r="F21" i="71"/>
  <c r="L20" i="71"/>
  <c r="L19" i="71"/>
  <c r="J19" i="71"/>
  <c r="K18" i="71"/>
  <c r="I18" i="71"/>
  <c r="H18" i="71"/>
  <c r="G18" i="71"/>
  <c r="F18" i="71"/>
  <c r="L17" i="71"/>
  <c r="J16" i="71"/>
  <c r="J18" i="71" s="1"/>
  <c r="L18" i="71" s="1"/>
  <c r="K15" i="71"/>
  <c r="I15" i="71"/>
  <c r="H15" i="71"/>
  <c r="G15" i="71"/>
  <c r="F15" i="71"/>
  <c r="L14" i="71"/>
  <c r="J13" i="71"/>
  <c r="J15" i="71" s="1"/>
  <c r="L15" i="71" s="1"/>
  <c r="L40" i="53"/>
  <c r="E53" i="63"/>
  <c r="K34" i="70" l="1"/>
  <c r="K38" i="70" s="1"/>
  <c r="I38" i="70"/>
  <c r="L13" i="71"/>
  <c r="E38" i="70"/>
  <c r="J40" i="71"/>
  <c r="L40" i="71" s="1"/>
  <c r="K76" i="72"/>
  <c r="K20" i="72"/>
  <c r="K32" i="72"/>
  <c r="K44" i="72"/>
  <c r="K56" i="72"/>
  <c r="K17" i="72"/>
  <c r="K29" i="72"/>
  <c r="K41" i="72"/>
  <c r="K53" i="72"/>
  <c r="K65" i="72"/>
  <c r="K66" i="72"/>
  <c r="K68" i="72" s="1"/>
  <c r="K14" i="72"/>
  <c r="I75" i="72"/>
  <c r="I77" i="72" s="1"/>
  <c r="L34" i="70"/>
  <c r="L38" i="70" s="1"/>
  <c r="H34" i="70"/>
  <c r="H38" i="70" s="1"/>
  <c r="L43" i="71"/>
  <c r="L49" i="71"/>
  <c r="L58" i="71"/>
  <c r="L64" i="71"/>
  <c r="L70" i="71"/>
  <c r="L41" i="71"/>
  <c r="L77" i="71" s="1"/>
  <c r="J48" i="71"/>
  <c r="L48" i="71" s="1"/>
  <c r="J63" i="71"/>
  <c r="L63" i="71" s="1"/>
  <c r="J69" i="71"/>
  <c r="L69" i="71" s="1"/>
  <c r="J75" i="71"/>
  <c r="L75" i="71" s="1"/>
  <c r="L16" i="71"/>
  <c r="L22" i="71"/>
  <c r="L28" i="71"/>
  <c r="L34" i="71"/>
  <c r="J54" i="71"/>
  <c r="L54" i="71" s="1"/>
  <c r="J57" i="71"/>
  <c r="L57" i="71" s="1"/>
  <c r="E23" i="69"/>
  <c r="E24" i="69"/>
  <c r="J42" i="71" l="1"/>
  <c r="L42" i="71" s="1"/>
  <c r="J76" i="71"/>
  <c r="J78" i="71" s="1"/>
  <c r="K75" i="72"/>
  <c r="K77" i="72" s="1"/>
  <c r="L76" i="71"/>
  <c r="L78" i="71" s="1"/>
  <c r="F16" i="68" l="1"/>
  <c r="F17" i="68"/>
  <c r="F31" i="68"/>
  <c r="F38" i="68" s="1"/>
  <c r="E23" i="63" l="1"/>
  <c r="E11" i="69" l="1"/>
  <c r="E12" i="69"/>
  <c r="E13" i="69"/>
  <c r="E14" i="69"/>
  <c r="E15" i="69"/>
  <c r="E16" i="69"/>
  <c r="E17" i="69"/>
  <c r="E18" i="69"/>
  <c r="E19" i="69"/>
  <c r="E20" i="69"/>
  <c r="E21" i="69"/>
  <c r="E22" i="69"/>
  <c r="E36" i="68" l="1"/>
  <c r="E37" i="68" s="1"/>
  <c r="D30" i="69"/>
  <c r="E29" i="69"/>
  <c r="F34" i="68"/>
  <c r="F35" i="68"/>
  <c r="F14" i="68"/>
  <c r="F15" i="68"/>
  <c r="F13" i="68"/>
  <c r="D31" i="69" l="1"/>
  <c r="C30" i="69" l="1"/>
  <c r="E30" i="69" s="1"/>
  <c r="D36" i="68"/>
  <c r="F36" i="68" s="1"/>
  <c r="C31" i="69" l="1"/>
  <c r="E31" i="69" s="1"/>
  <c r="D37" i="68"/>
  <c r="F37" i="68" l="1"/>
  <c r="L44" i="63"/>
  <c r="N15" i="62"/>
  <c r="F54" i="63" l="1"/>
  <c r="F53" i="63"/>
  <c r="F52" i="63"/>
  <c r="F49" i="63"/>
  <c r="F50" i="63"/>
  <c r="F48" i="63"/>
  <c r="F45" i="63"/>
  <c r="F46" i="63"/>
  <c r="F44" i="63"/>
  <c r="E44" i="63"/>
  <c r="F28" i="63"/>
  <c r="F29" i="63"/>
  <c r="E27" i="63"/>
  <c r="F27" i="63"/>
  <c r="F24" i="63"/>
  <c r="F25" i="63"/>
  <c r="F23" i="63"/>
  <c r="F20" i="63"/>
  <c r="F21" i="63"/>
  <c r="F19" i="63"/>
  <c r="F16" i="63"/>
  <c r="F17" i="63"/>
  <c r="F18" i="63" l="1"/>
  <c r="F15" i="63"/>
  <c r="E15" i="63" l="1"/>
  <c r="F66" i="63"/>
  <c r="N66" i="63" l="1"/>
  <c r="M67" i="63"/>
  <c r="M44" i="63"/>
  <c r="M45" i="63"/>
  <c r="M46" i="63"/>
  <c r="M48" i="63"/>
  <c r="M49" i="63"/>
  <c r="M50" i="63"/>
  <c r="M52" i="63"/>
  <c r="M53" i="63"/>
  <c r="M54" i="63"/>
  <c r="M15" i="63"/>
  <c r="M16" i="63"/>
  <c r="M17" i="63"/>
  <c r="M19" i="63"/>
  <c r="M20" i="63"/>
  <c r="M21" i="63"/>
  <c r="M23" i="63"/>
  <c r="M24" i="63"/>
  <c r="M25" i="63"/>
  <c r="M27" i="63"/>
  <c r="M28" i="63"/>
  <c r="M29" i="63"/>
  <c r="M31" i="63"/>
  <c r="M32" i="63"/>
  <c r="M33" i="63"/>
  <c r="M34" i="63"/>
  <c r="M35" i="63"/>
  <c r="L67" i="63"/>
  <c r="L65" i="63" s="1"/>
  <c r="L54" i="63"/>
  <c r="L53" i="63"/>
  <c r="L52" i="63"/>
  <c r="L50" i="63"/>
  <c r="L49" i="63"/>
  <c r="L48" i="63"/>
  <c r="L46" i="63"/>
  <c r="L45" i="63"/>
  <c r="L35" i="63"/>
  <c r="L34" i="63"/>
  <c r="L33" i="63"/>
  <c r="L32" i="63"/>
  <c r="L31" i="63"/>
  <c r="L29" i="63"/>
  <c r="L28" i="63"/>
  <c r="L27" i="63"/>
  <c r="L25" i="63"/>
  <c r="L24" i="63"/>
  <c r="L23" i="63"/>
  <c r="L21" i="63"/>
  <c r="L20" i="63"/>
  <c r="L19" i="63"/>
  <c r="L16" i="63"/>
  <c r="L17" i="63"/>
  <c r="L15" i="63"/>
  <c r="F47" i="63"/>
  <c r="F51" i="63"/>
  <c r="F56" i="63"/>
  <c r="F57" i="63"/>
  <c r="F58" i="63"/>
  <c r="G67" i="63"/>
  <c r="E66" i="63"/>
  <c r="E65" i="63" s="1"/>
  <c r="E54" i="63"/>
  <c r="G54" i="63" s="1"/>
  <c r="E52" i="63"/>
  <c r="E50" i="63"/>
  <c r="E49" i="63"/>
  <c r="G49" i="63" s="1"/>
  <c r="E48" i="63"/>
  <c r="G48" i="63" s="1"/>
  <c r="E46" i="63"/>
  <c r="E45" i="63"/>
  <c r="G45" i="63" s="1"/>
  <c r="E29" i="63"/>
  <c r="G29" i="63" s="1"/>
  <c r="E28" i="63"/>
  <c r="G28" i="63" s="1"/>
  <c r="E25" i="63"/>
  <c r="E24" i="63"/>
  <c r="G24" i="63" s="1"/>
  <c r="G23" i="63"/>
  <c r="E20" i="63"/>
  <c r="G20" i="63" s="1"/>
  <c r="E21" i="63"/>
  <c r="G21" i="63" s="1"/>
  <c r="E19" i="63"/>
  <c r="G19" i="63" s="1"/>
  <c r="E16" i="63"/>
  <c r="G16" i="63" s="1"/>
  <c r="E17" i="63"/>
  <c r="G17" i="63" s="1"/>
  <c r="F65" i="63"/>
  <c r="G44" i="63"/>
  <c r="F43" i="63"/>
  <c r="F39" i="63"/>
  <c r="F38" i="63"/>
  <c r="F62" i="63" s="1"/>
  <c r="F70" i="63" s="1"/>
  <c r="F37" i="63"/>
  <c r="G27" i="63"/>
  <c r="F26" i="63"/>
  <c r="F22" i="63"/>
  <c r="G15" i="63"/>
  <c r="F14" i="63"/>
  <c r="L51" i="62"/>
  <c r="L47" i="62"/>
  <c r="L43" i="62"/>
  <c r="L30" i="62"/>
  <c r="L26" i="62"/>
  <c r="L22" i="62"/>
  <c r="L18" i="62"/>
  <c r="L14" i="62"/>
  <c r="E58" i="62"/>
  <c r="E57" i="62"/>
  <c r="E56" i="62"/>
  <c r="E51" i="62"/>
  <c r="E47" i="62"/>
  <c r="E43" i="62"/>
  <c r="E26" i="62"/>
  <c r="E22" i="62"/>
  <c r="E18" i="62"/>
  <c r="E14" i="62"/>
  <c r="G67" i="62"/>
  <c r="G66" i="62"/>
  <c r="M65" i="62"/>
  <c r="L65" i="62"/>
  <c r="F65" i="62"/>
  <c r="E65" i="62"/>
  <c r="M58" i="62"/>
  <c r="L58" i="62"/>
  <c r="F58" i="62"/>
  <c r="M57" i="62"/>
  <c r="L57" i="62"/>
  <c r="F57" i="62"/>
  <c r="M56" i="62"/>
  <c r="L56" i="62"/>
  <c r="F56" i="62"/>
  <c r="N54" i="62"/>
  <c r="G54" i="62"/>
  <c r="N53" i="62"/>
  <c r="G53" i="62"/>
  <c r="N52" i="62"/>
  <c r="G52" i="62"/>
  <c r="M51" i="62"/>
  <c r="F51" i="62"/>
  <c r="N50" i="62"/>
  <c r="G50" i="62"/>
  <c r="N49" i="62"/>
  <c r="G49" i="62"/>
  <c r="N48" i="62"/>
  <c r="G48" i="62"/>
  <c r="M47" i="62"/>
  <c r="F47" i="62"/>
  <c r="N46" i="62"/>
  <c r="G46" i="62"/>
  <c r="N45" i="62"/>
  <c r="G45" i="62"/>
  <c r="N44" i="62"/>
  <c r="N56" i="62" s="1"/>
  <c r="G44" i="62"/>
  <c r="G56" i="62" s="1"/>
  <c r="M43" i="62"/>
  <c r="F43" i="62"/>
  <c r="M39" i="62"/>
  <c r="L39" i="62"/>
  <c r="L63" i="62" s="1"/>
  <c r="L71" i="62" s="1"/>
  <c r="F39" i="62"/>
  <c r="E39" i="62"/>
  <c r="E63" i="62" s="1"/>
  <c r="E71" i="62" s="1"/>
  <c r="M38" i="62"/>
  <c r="L38" i="62"/>
  <c r="F38" i="62"/>
  <c r="E38" i="62"/>
  <c r="M37" i="62"/>
  <c r="L37" i="62"/>
  <c r="L36" i="62" s="1"/>
  <c r="F37" i="62"/>
  <c r="E37" i="62"/>
  <c r="N35" i="62"/>
  <c r="N34" i="62"/>
  <c r="N33" i="62"/>
  <c r="N32" i="62"/>
  <c r="N31" i="62"/>
  <c r="M30" i="62"/>
  <c r="N29" i="62"/>
  <c r="G29" i="62"/>
  <c r="N28" i="62"/>
  <c r="G28" i="62"/>
  <c r="N27" i="62"/>
  <c r="G27" i="62"/>
  <c r="M26" i="62"/>
  <c r="F26" i="62"/>
  <c r="N25" i="62"/>
  <c r="G25" i="62"/>
  <c r="N24" i="62"/>
  <c r="G24" i="62"/>
  <c r="N23" i="62"/>
  <c r="G23" i="62"/>
  <c r="M22" i="62"/>
  <c r="F22" i="62"/>
  <c r="N21" i="62"/>
  <c r="G21" i="62"/>
  <c r="N20" i="62"/>
  <c r="G20" i="62"/>
  <c r="N19" i="62"/>
  <c r="G19" i="62"/>
  <c r="M18" i="62"/>
  <c r="F18" i="62"/>
  <c r="N17" i="62"/>
  <c r="G17" i="62"/>
  <c r="N16" i="62"/>
  <c r="G16" i="62"/>
  <c r="G15" i="62"/>
  <c r="M14" i="62"/>
  <c r="F14" i="62"/>
  <c r="N48" i="63" l="1"/>
  <c r="N52" i="63"/>
  <c r="L22" i="63"/>
  <c r="L47" i="63"/>
  <c r="L26" i="63"/>
  <c r="N22" i="62"/>
  <c r="E22" i="63"/>
  <c r="L57" i="63"/>
  <c r="N32" i="63"/>
  <c r="E43" i="63"/>
  <c r="N27" i="63"/>
  <c r="F42" i="62"/>
  <c r="M42" i="62"/>
  <c r="N58" i="62"/>
  <c r="E56" i="63"/>
  <c r="N54" i="63"/>
  <c r="E57" i="63"/>
  <c r="N35" i="63"/>
  <c r="F36" i="63"/>
  <c r="L39" i="63"/>
  <c r="N49" i="63"/>
  <c r="N44" i="63"/>
  <c r="N56" i="63" s="1"/>
  <c r="L56" i="63"/>
  <c r="N31" i="63"/>
  <c r="L18" i="63"/>
  <c r="N20" i="63"/>
  <c r="N15" i="63"/>
  <c r="L55" i="62"/>
  <c r="L62" i="62"/>
  <c r="L70" i="62" s="1"/>
  <c r="F63" i="63"/>
  <c r="F71" i="63" s="1"/>
  <c r="N24" i="63"/>
  <c r="E42" i="62"/>
  <c r="E55" i="62"/>
  <c r="N17" i="63"/>
  <c r="N57" i="62"/>
  <c r="M57" i="63"/>
  <c r="M63" i="62"/>
  <c r="M71" i="62" s="1"/>
  <c r="M62" i="62"/>
  <c r="M70" i="62" s="1"/>
  <c r="N29" i="63"/>
  <c r="M13" i="62"/>
  <c r="M36" i="62"/>
  <c r="G58" i="62"/>
  <c r="F62" i="62"/>
  <c r="F70" i="62" s="1"/>
  <c r="F61" i="62"/>
  <c r="F69" i="62" s="1"/>
  <c r="F13" i="62"/>
  <c r="N16" i="63"/>
  <c r="F36" i="62"/>
  <c r="G65" i="62"/>
  <c r="N34" i="63"/>
  <c r="M56" i="63"/>
  <c r="L58" i="63"/>
  <c r="L55" i="63" s="1"/>
  <c r="E14" i="63"/>
  <c r="G53" i="63"/>
  <c r="G57" i="63" s="1"/>
  <c r="L38" i="63"/>
  <c r="N50" i="63"/>
  <c r="E26" i="63"/>
  <c r="G46" i="63"/>
  <c r="G43" i="63" s="1"/>
  <c r="L51" i="63"/>
  <c r="L30" i="63"/>
  <c r="M38" i="63"/>
  <c r="M62" i="63" s="1"/>
  <c r="M70" i="63" s="1"/>
  <c r="M39" i="63"/>
  <c r="N19" i="63"/>
  <c r="M58" i="63"/>
  <c r="N28" i="63"/>
  <c r="L43" i="63"/>
  <c r="N23" i="63"/>
  <c r="G14" i="62"/>
  <c r="M55" i="62"/>
  <c r="G25" i="63"/>
  <c r="G39" i="63" s="1"/>
  <c r="M37" i="63"/>
  <c r="M26" i="63"/>
  <c r="M22" i="63"/>
  <c r="M18" i="63"/>
  <c r="M43" i="63"/>
  <c r="G47" i="62"/>
  <c r="L14" i="63"/>
  <c r="G52" i="63"/>
  <c r="E51" i="63"/>
  <c r="L37" i="63"/>
  <c r="L61" i="63" s="1"/>
  <c r="N25" i="63"/>
  <c r="N21" i="63"/>
  <c r="M14" i="63"/>
  <c r="N53" i="63"/>
  <c r="N51" i="63" s="1"/>
  <c r="M47" i="63"/>
  <c r="G37" i="62"/>
  <c r="G61" i="62" s="1"/>
  <c r="L42" i="62"/>
  <c r="F42" i="63"/>
  <c r="N45" i="63"/>
  <c r="E58" i="63"/>
  <c r="F55" i="63"/>
  <c r="N33" i="63"/>
  <c r="M51" i="63"/>
  <c r="M65" i="63"/>
  <c r="N67" i="63"/>
  <c r="N65" i="63" s="1"/>
  <c r="N46" i="63"/>
  <c r="M30" i="63"/>
  <c r="F13" i="63"/>
  <c r="E38" i="63"/>
  <c r="F61" i="63"/>
  <c r="G66" i="63"/>
  <c r="G65" i="63" s="1"/>
  <c r="G50" i="63"/>
  <c r="G47" i="63" s="1"/>
  <c r="E47" i="63"/>
  <c r="E39" i="63"/>
  <c r="E18" i="63"/>
  <c r="G18" i="63"/>
  <c r="E37" i="63"/>
  <c r="G38" i="63"/>
  <c r="G14" i="63"/>
  <c r="G26" i="63"/>
  <c r="M61" i="62"/>
  <c r="M69" i="62" s="1"/>
  <c r="N14" i="62"/>
  <c r="N18" i="62"/>
  <c r="G22" i="62"/>
  <c r="E62" i="62"/>
  <c r="E70" i="62" s="1"/>
  <c r="F55" i="62"/>
  <c r="L13" i="62"/>
  <c r="G39" i="62"/>
  <c r="G63" i="62" s="1"/>
  <c r="G71" i="62" s="1"/>
  <c r="F63" i="62"/>
  <c r="F71" i="62" s="1"/>
  <c r="G51" i="62"/>
  <c r="E13" i="62"/>
  <c r="N65" i="62"/>
  <c r="N47" i="62"/>
  <c r="N51" i="62"/>
  <c r="N26" i="62"/>
  <c r="E61" i="62"/>
  <c r="E69" i="62" s="1"/>
  <c r="G57" i="62"/>
  <c r="N38" i="62"/>
  <c r="N37" i="62"/>
  <c r="N61" i="62" s="1"/>
  <c r="N39" i="62"/>
  <c r="E36" i="62"/>
  <c r="E40" i="62" s="1"/>
  <c r="G18" i="62"/>
  <c r="G38" i="62"/>
  <c r="L61" i="62"/>
  <c r="G26" i="62"/>
  <c r="N30" i="62"/>
  <c r="N43" i="62"/>
  <c r="G43" i="62"/>
  <c r="G67" i="53"/>
  <c r="G66" i="53"/>
  <c r="N67" i="53"/>
  <c r="N66" i="53"/>
  <c r="N53" i="53"/>
  <c r="N54" i="53"/>
  <c r="N52" i="53"/>
  <c r="N49" i="53"/>
  <c r="N50" i="53"/>
  <c r="N48" i="53"/>
  <c r="N45" i="53"/>
  <c r="N46" i="53"/>
  <c r="N44" i="53"/>
  <c r="N35" i="53"/>
  <c r="N34" i="53"/>
  <c r="N33" i="53"/>
  <c r="N32" i="53"/>
  <c r="N31" i="53"/>
  <c r="N29" i="53"/>
  <c r="N28" i="53"/>
  <c r="N27" i="53"/>
  <c r="N24" i="53"/>
  <c r="N25" i="53"/>
  <c r="N23" i="53"/>
  <c r="N20" i="53"/>
  <c r="N21" i="53"/>
  <c r="N19" i="53"/>
  <c r="N16" i="53"/>
  <c r="N17" i="53"/>
  <c r="N15" i="53"/>
  <c r="G53" i="53"/>
  <c r="G54" i="53"/>
  <c r="G52" i="53"/>
  <c r="G49" i="53"/>
  <c r="G50" i="53"/>
  <c r="G48" i="53"/>
  <c r="G45" i="53"/>
  <c r="G46" i="53"/>
  <c r="G44" i="53"/>
  <c r="G28" i="53"/>
  <c r="G29" i="53"/>
  <c r="G27" i="53"/>
  <c r="F22" i="53"/>
  <c r="F18" i="53"/>
  <c r="G16" i="53"/>
  <c r="G17" i="53"/>
  <c r="G19" i="53"/>
  <c r="G20" i="53"/>
  <c r="G21" i="53"/>
  <c r="G23" i="53"/>
  <c r="G24" i="53"/>
  <c r="G25" i="53"/>
  <c r="G15" i="53"/>
  <c r="M65" i="53"/>
  <c r="M56" i="53"/>
  <c r="M57" i="53"/>
  <c r="M58" i="53"/>
  <c r="M51" i="53"/>
  <c r="M47" i="53"/>
  <c r="M43" i="53"/>
  <c r="M37" i="53"/>
  <c r="M38" i="53"/>
  <c r="M39" i="53"/>
  <c r="M30" i="53"/>
  <c r="M26" i="53"/>
  <c r="M22" i="53"/>
  <c r="M18" i="53"/>
  <c r="M14" i="53"/>
  <c r="F65" i="53"/>
  <c r="F56" i="53"/>
  <c r="F57" i="53"/>
  <c r="F58" i="53"/>
  <c r="F51" i="53"/>
  <c r="F47" i="53"/>
  <c r="F43" i="53"/>
  <c r="F39" i="53"/>
  <c r="F38" i="53"/>
  <c r="F37" i="53"/>
  <c r="F26" i="53"/>
  <c r="F14" i="53"/>
  <c r="L65" i="53"/>
  <c r="L58" i="53"/>
  <c r="L57" i="53"/>
  <c r="L56" i="53"/>
  <c r="L51" i="53"/>
  <c r="L47" i="53"/>
  <c r="L43" i="53"/>
  <c r="L39" i="53"/>
  <c r="L38" i="53"/>
  <c r="L37" i="53"/>
  <c r="L30" i="53"/>
  <c r="L26" i="53"/>
  <c r="L22" i="53"/>
  <c r="L18" i="53"/>
  <c r="L14" i="53"/>
  <c r="L63" i="53" l="1"/>
  <c r="L71" i="53" s="1"/>
  <c r="E62" i="63"/>
  <c r="E70" i="63" s="1"/>
  <c r="N47" i="63"/>
  <c r="L62" i="63"/>
  <c r="L70" i="63" s="1"/>
  <c r="E61" i="63"/>
  <c r="E69" i="63" s="1"/>
  <c r="E55" i="63"/>
  <c r="E59" i="63" s="1"/>
  <c r="N55" i="62"/>
  <c r="N63" i="62"/>
  <c r="N71" i="62" s="1"/>
  <c r="M61" i="63"/>
  <c r="M69" i="63" s="1"/>
  <c r="E68" i="62"/>
  <c r="N14" i="63"/>
  <c r="L62" i="53"/>
  <c r="L70" i="53" s="1"/>
  <c r="N58" i="53"/>
  <c r="M61" i="53"/>
  <c r="M69" i="53" s="1"/>
  <c r="N30" i="63"/>
  <c r="N62" i="62"/>
  <c r="N70" i="62" s="1"/>
  <c r="G18" i="53"/>
  <c r="G55" i="62"/>
  <c r="F69" i="63"/>
  <c r="F68" i="63" s="1"/>
  <c r="L36" i="63"/>
  <c r="L61" i="53"/>
  <c r="M68" i="62"/>
  <c r="E42" i="63"/>
  <c r="N57" i="63"/>
  <c r="L13" i="63"/>
  <c r="F59" i="62"/>
  <c r="N26" i="63"/>
  <c r="E59" i="62"/>
  <c r="G51" i="63"/>
  <c r="G42" i="63" s="1"/>
  <c r="G56" i="63"/>
  <c r="F60" i="63"/>
  <c r="M63" i="53"/>
  <c r="M71" i="53" s="1"/>
  <c r="N57" i="53"/>
  <c r="M62" i="53"/>
  <c r="M70" i="53" s="1"/>
  <c r="M55" i="53"/>
  <c r="N43" i="63"/>
  <c r="N42" i="63" s="1"/>
  <c r="N30" i="53"/>
  <c r="N39" i="53"/>
  <c r="F55" i="53"/>
  <c r="G58" i="53"/>
  <c r="G43" i="53"/>
  <c r="G57" i="53"/>
  <c r="F62" i="53"/>
  <c r="F70" i="53" s="1"/>
  <c r="G22" i="53"/>
  <c r="G39" i="53"/>
  <c r="F36" i="53"/>
  <c r="M60" i="62"/>
  <c r="F64" i="62" s="1"/>
  <c r="N42" i="62"/>
  <c r="M55" i="63"/>
  <c r="F59" i="63" s="1"/>
  <c r="N22" i="63"/>
  <c r="N18" i="63"/>
  <c r="F40" i="62"/>
  <c r="F60" i="62"/>
  <c r="F68" i="62"/>
  <c r="G62" i="62"/>
  <c r="G70" i="62" s="1"/>
  <c r="E63" i="63"/>
  <c r="E71" i="63" s="1"/>
  <c r="N39" i="63"/>
  <c r="N37" i="63"/>
  <c r="N61" i="63" s="1"/>
  <c r="N69" i="63" s="1"/>
  <c r="N38" i="63"/>
  <c r="L63" i="63"/>
  <c r="L71" i="63" s="1"/>
  <c r="L42" i="63"/>
  <c r="M63" i="63"/>
  <c r="M71" i="63" s="1"/>
  <c r="G58" i="63"/>
  <c r="E13" i="63"/>
  <c r="M36" i="63"/>
  <c r="F40" i="63" s="1"/>
  <c r="G22" i="63"/>
  <c r="G13" i="63" s="1"/>
  <c r="L55" i="53"/>
  <c r="G42" i="62"/>
  <c r="L42" i="53"/>
  <c r="N38" i="53"/>
  <c r="N58" i="63"/>
  <c r="M13" i="63"/>
  <c r="F63" i="53"/>
  <c r="F71" i="53" s="1"/>
  <c r="M36" i="53"/>
  <c r="F40" i="53" s="1"/>
  <c r="G38" i="53"/>
  <c r="N65" i="53"/>
  <c r="M42" i="63"/>
  <c r="G37" i="63"/>
  <c r="G62" i="63"/>
  <c r="G70" i="63" s="1"/>
  <c r="E36" i="63"/>
  <c r="L69" i="63"/>
  <c r="G13" i="62"/>
  <c r="G36" i="62"/>
  <c r="N13" i="62"/>
  <c r="N36" i="62"/>
  <c r="E60" i="62"/>
  <c r="L60" i="62"/>
  <c r="L69" i="62"/>
  <c r="L68" i="62" s="1"/>
  <c r="G69" i="62"/>
  <c r="N69" i="62"/>
  <c r="N51" i="53"/>
  <c r="N47" i="53"/>
  <c r="N43" i="53"/>
  <c r="N56" i="53"/>
  <c r="N26" i="53"/>
  <c r="N22" i="53"/>
  <c r="N37" i="53"/>
  <c r="N14" i="53"/>
  <c r="G65" i="53"/>
  <c r="G51" i="53"/>
  <c r="G56" i="53"/>
  <c r="G47" i="53"/>
  <c r="G26" i="53"/>
  <c r="G37" i="53"/>
  <c r="G14" i="53"/>
  <c r="M42" i="53"/>
  <c r="M13" i="53"/>
  <c r="L13" i="53"/>
  <c r="L36" i="53"/>
  <c r="F61" i="53"/>
  <c r="F42" i="53"/>
  <c r="F13" i="53"/>
  <c r="F59" i="53" l="1"/>
  <c r="M68" i="63"/>
  <c r="N55" i="63"/>
  <c r="N68" i="62"/>
  <c r="E68" i="63"/>
  <c r="G59" i="62"/>
  <c r="G60" i="62"/>
  <c r="N63" i="53"/>
  <c r="N71" i="53" s="1"/>
  <c r="N60" i="62"/>
  <c r="G62" i="53"/>
  <c r="G70" i="53" s="1"/>
  <c r="G55" i="63"/>
  <c r="L60" i="53"/>
  <c r="L69" i="53"/>
  <c r="L68" i="53" s="1"/>
  <c r="N55" i="53"/>
  <c r="N62" i="53"/>
  <c r="N70" i="53" s="1"/>
  <c r="N13" i="63"/>
  <c r="G61" i="63"/>
  <c r="G69" i="63" s="1"/>
  <c r="G63" i="63"/>
  <c r="G71" i="63" s="1"/>
  <c r="M60" i="53"/>
  <c r="M68" i="53"/>
  <c r="E40" i="63"/>
  <c r="G42" i="53"/>
  <c r="G63" i="53"/>
  <c r="G71" i="53" s="1"/>
  <c r="G55" i="53"/>
  <c r="N36" i="53"/>
  <c r="G40" i="53" s="1"/>
  <c r="G36" i="53"/>
  <c r="N36" i="63"/>
  <c r="G68" i="62"/>
  <c r="G40" i="62"/>
  <c r="M60" i="63"/>
  <c r="F64" i="63" s="1"/>
  <c r="N62" i="63"/>
  <c r="N70" i="63" s="1"/>
  <c r="L68" i="63"/>
  <c r="E60" i="63"/>
  <c r="L60" i="63"/>
  <c r="N63" i="63"/>
  <c r="N71" i="63" s="1"/>
  <c r="F60" i="53"/>
  <c r="F69" i="53"/>
  <c r="F68" i="53" s="1"/>
  <c r="G36" i="63"/>
  <c r="N42" i="53"/>
  <c r="N61" i="53"/>
  <c r="G61" i="53"/>
  <c r="G69" i="53" s="1"/>
  <c r="G13" i="53"/>
  <c r="F64" i="53" l="1"/>
  <c r="G64" i="62"/>
  <c r="G59" i="63"/>
  <c r="G68" i="63"/>
  <c r="G59" i="53"/>
  <c r="N60" i="53"/>
  <c r="G68" i="53"/>
  <c r="G60" i="63"/>
  <c r="G40" i="63"/>
  <c r="E64" i="63"/>
  <c r="N68" i="63"/>
  <c r="N60" i="63"/>
  <c r="N69" i="53"/>
  <c r="N68" i="53" s="1"/>
  <c r="G60" i="53"/>
  <c r="G64" i="53" l="1"/>
  <c r="G64" i="63"/>
  <c r="E37" i="53" l="1"/>
  <c r="E56" i="53"/>
  <c r="E38" i="53"/>
  <c r="E57" i="53"/>
  <c r="E39" i="53"/>
  <c r="E58" i="53"/>
  <c r="E65" i="53"/>
  <c r="E51" i="53"/>
  <c r="E47" i="53"/>
  <c r="E43" i="53"/>
  <c r="N18" i="53"/>
  <c r="N13" i="53" s="1"/>
  <c r="E26" i="53"/>
  <c r="E22" i="53"/>
  <c r="E18" i="53"/>
  <c r="E14" i="53"/>
  <c r="E55" i="53" l="1"/>
  <c r="E59" i="53" s="1"/>
  <c r="E63" i="53"/>
  <c r="E71" i="53" s="1"/>
  <c r="E42" i="53"/>
  <c r="E36" i="53"/>
  <c r="E13" i="53"/>
  <c r="E62" i="53"/>
  <c r="E70" i="53" s="1"/>
  <c r="E61" i="53"/>
  <c r="E69" i="53" s="1"/>
  <c r="E68" i="53" l="1"/>
  <c r="E60" i="53"/>
  <c r="E64" i="53" s="1"/>
</calcChain>
</file>

<file path=xl/sharedStrings.xml><?xml version="1.0" encoding="utf-8"?>
<sst xmlns="http://schemas.openxmlformats.org/spreadsheetml/2006/main" count="1274" uniqueCount="274">
  <si>
    <t>I.</t>
  </si>
  <si>
    <t>1.</t>
  </si>
  <si>
    <t>2.</t>
  </si>
  <si>
    <t>II.</t>
  </si>
  <si>
    <t>3.</t>
  </si>
  <si>
    <t>4.</t>
  </si>
  <si>
    <t>Közhatalmi bevételek</t>
  </si>
  <si>
    <t>5.</t>
  </si>
  <si>
    <t>Ellátottak pénzbeli juttatásai</t>
  </si>
  <si>
    <t>Sorszám</t>
  </si>
  <si>
    <t>Kötelező feladatok</t>
  </si>
  <si>
    <t>Önként vállalt feladatok összesen</t>
  </si>
  <si>
    <t>Állami (államigazgatási) feladatok</t>
  </si>
  <si>
    <t xml:space="preserve">Önként vállalt feladatok </t>
  </si>
  <si>
    <t>Egyéb működési célú kiadások</t>
  </si>
  <si>
    <t>Beruházások</t>
  </si>
  <si>
    <t>Felújítások</t>
  </si>
  <si>
    <t xml:space="preserve">Személyi juttatások </t>
  </si>
  <si>
    <t>Működési költségvetési kiadások összesen</t>
  </si>
  <si>
    <t>Felhalmozási költségvetési kiadások összesen</t>
  </si>
  <si>
    <t>Munkaadókat terhelő jár. és szoc. hozzájárulási adó</t>
  </si>
  <si>
    <t>Működési költségvetési kiadások</t>
  </si>
  <si>
    <t>Felhalmozási költségvetési kiadások</t>
  </si>
  <si>
    <t>Működési költségvetési bevételek összesen</t>
  </si>
  <si>
    <t>Felhalmozási költségvetési bevételek</t>
  </si>
  <si>
    <t>Felhalmozási bevételek</t>
  </si>
  <si>
    <t>Felhalmozási költségvetési bevételek összesen</t>
  </si>
  <si>
    <t xml:space="preserve"> költségvetési mérleg</t>
  </si>
  <si>
    <t>6.</t>
  </si>
  <si>
    <t>Önkormányzat bevételei mindösszesen</t>
  </si>
  <si>
    <t>Önkormányzat kiadásai mindösszesen</t>
  </si>
  <si>
    <t>Elnöki hatáskörben felhasználható keret kiemelt közoktatási, kulturális, közművelődési és sportfeladatokra</t>
  </si>
  <si>
    <t>Jogi, Ügyrendi és Társadalmi Kapcsolatok Bizottsága hatáskörében felhasználható keret</t>
  </si>
  <si>
    <t>Kötelező feladat</t>
  </si>
  <si>
    <t>Önként vállalt feladat</t>
  </si>
  <si>
    <t>Dologi kiadások</t>
  </si>
  <si>
    <t>Feladat megnevezése</t>
  </si>
  <si>
    <t>Kötelező feladat összesen</t>
  </si>
  <si>
    <t>Működési bevételek</t>
  </si>
  <si>
    <t>Eredeti előirányzat</t>
  </si>
  <si>
    <t xml:space="preserve"> </t>
  </si>
  <si>
    <t>I+II.</t>
  </si>
  <si>
    <t>Költségvetési bevételek összesen</t>
  </si>
  <si>
    <t>Finanszírozási bevételek összesen</t>
  </si>
  <si>
    <t>Költségvetési kiadások összesen</t>
  </si>
  <si>
    <t>III.</t>
  </si>
  <si>
    <t>I-III</t>
  </si>
  <si>
    <t xml:space="preserve">Működési költségvetési bevételek </t>
  </si>
  <si>
    <t xml:space="preserve">I. MŰKÖDÉSI KÖLTSÉGVETÉS </t>
  </si>
  <si>
    <t>Bevételi előirányzatok</t>
  </si>
  <si>
    <t>Kiadási előirányzatok</t>
  </si>
  <si>
    <t>(bevételi előirányzatok és kiadási előirányzatok kiemelt előirányzatok szerinti bontásban)</t>
  </si>
  <si>
    <t xml:space="preserve">II. FELHALMOZÁSI KÖLTSÉGVETÉS </t>
  </si>
  <si>
    <t>Működési célú átvett pénzeszközök</t>
  </si>
  <si>
    <t>Működési célú támogatások államháztartáson belülről</t>
  </si>
  <si>
    <t>Felhalmozási célú átvett pénzeszközök</t>
  </si>
  <si>
    <r>
      <t>Felhalmozási célú támogatás</t>
    </r>
    <r>
      <rPr>
        <b/>
        <sz val="10"/>
        <rFont val="Times New Roman"/>
        <family val="1"/>
        <charset val="238"/>
      </rPr>
      <t>ok</t>
    </r>
    <r>
      <rPr>
        <b/>
        <sz val="11"/>
        <rFont val="Times New Roman"/>
        <family val="1"/>
        <charset val="238"/>
      </rPr>
      <t xml:space="preserve"> államháztartáson belülről</t>
    </r>
  </si>
  <si>
    <t>Finanszírozási kiadások összesen</t>
  </si>
  <si>
    <t>K1</t>
  </si>
  <si>
    <t>K2</t>
  </si>
  <si>
    <t>K3</t>
  </si>
  <si>
    <t>K4</t>
  </si>
  <si>
    <t>K5</t>
  </si>
  <si>
    <t>B1</t>
  </si>
  <si>
    <t>K6</t>
  </si>
  <si>
    <t>K7</t>
  </si>
  <si>
    <t>K8</t>
  </si>
  <si>
    <t>Egyéb felhalmozási célú kiadások</t>
  </si>
  <si>
    <t>K6+K7+K8</t>
  </si>
  <si>
    <t>K9</t>
  </si>
  <si>
    <t>K1-K9</t>
  </si>
  <si>
    <t>B1-B8</t>
  </si>
  <si>
    <t>Költségvetési bevételek és kiadások egyenlege (hiány)</t>
  </si>
  <si>
    <t>Költségvetési bevételek és kiadások egyenlege (többlet)</t>
  </si>
  <si>
    <t>B8</t>
  </si>
  <si>
    <t>B2</t>
  </si>
  <si>
    <t>B3</t>
  </si>
  <si>
    <t>B4</t>
  </si>
  <si>
    <t>B5</t>
  </si>
  <si>
    <t>B6</t>
  </si>
  <si>
    <t>B7</t>
  </si>
  <si>
    <t xml:space="preserve">K1+K2+K3+K4+K5   </t>
  </si>
  <si>
    <t xml:space="preserve">B1+B3+B4+B6                   </t>
  </si>
  <si>
    <t>B2+B5+B7</t>
  </si>
  <si>
    <t>K1-K8</t>
  </si>
  <si>
    <t>B1-B7</t>
  </si>
  <si>
    <t>Maradvány igénybevétele</t>
  </si>
  <si>
    <t>Államháztartáson belüli megelőlegezések</t>
  </si>
  <si>
    <t>Államháztartáson belüli megelőlegezés visszafizetése</t>
  </si>
  <si>
    <t>Irányító szervi támogatás folyósítása</t>
  </si>
  <si>
    <t>7.</t>
  </si>
  <si>
    <t>EI.Csop.</t>
  </si>
  <si>
    <t>Kiem.EI.</t>
  </si>
  <si>
    <t>Kötelező és önként vállalt feladat összesen</t>
  </si>
  <si>
    <t>1.a</t>
  </si>
  <si>
    <t>1.b</t>
  </si>
  <si>
    <t xml:space="preserve">    - ebből általános tartalék</t>
  </si>
  <si>
    <t xml:space="preserve">    - ebből céltartalék</t>
  </si>
  <si>
    <t>Költségvetési működési bevételek és kiadások egyenlege (hiány)</t>
  </si>
  <si>
    <t>Költségvetési működési bevételek és kiadások egyenlege (többlet)</t>
  </si>
  <si>
    <t>Költségvetési felhalmozási bevételek és kiadások egyenlege (hiány)</t>
  </si>
  <si>
    <t>Költségvetési felhalmozási bevételek és kiadások egyenlege (többlet)</t>
  </si>
  <si>
    <t>Működési célú támogatások államháztartáson belülre</t>
  </si>
  <si>
    <t>Működési célú támogatások államháztartáson kívülre</t>
  </si>
  <si>
    <t>Működési célú támogatások államháztartáson belülre kötelező feladatra összesen</t>
  </si>
  <si>
    <t>Működési célú támogatások államháztartáson kívülre önként vállalt feladatra összesen</t>
  </si>
  <si>
    <t>Módosított előirányzat</t>
  </si>
  <si>
    <t>Pályázat</t>
  </si>
  <si>
    <t>Bevétel</t>
  </si>
  <si>
    <t>Kiadás</t>
  </si>
  <si>
    <t>Önerő</t>
  </si>
  <si>
    <t>Címe</t>
  </si>
  <si>
    <t>Azonosító</t>
  </si>
  <si>
    <t>Működési</t>
  </si>
  <si>
    <t>Felhal-mozási</t>
  </si>
  <si>
    <t>Maradvány igénybevétel</t>
  </si>
  <si>
    <t>Összesen</t>
  </si>
  <si>
    <t xml:space="preserve">Működési </t>
  </si>
  <si>
    <t>EU-s forrásból</t>
  </si>
  <si>
    <t>Bevételek - EU-s forrás</t>
  </si>
  <si>
    <t>Költségvetés</t>
  </si>
  <si>
    <t>Kiemelt előirányzat</t>
  </si>
  <si>
    <t>Maradvány</t>
  </si>
  <si>
    <t>Önkormányzat</t>
  </si>
  <si>
    <t>Hivatal</t>
  </si>
  <si>
    <t>Mindösszesen</t>
  </si>
  <si>
    <t>Kiadások</t>
  </si>
  <si>
    <t>Személyi</t>
  </si>
  <si>
    <t>Járulék</t>
  </si>
  <si>
    <t>Dologi</t>
  </si>
  <si>
    <t>Beruházás</t>
  </si>
  <si>
    <t>Foglalkoztatási Paktum</t>
  </si>
  <si>
    <t>Támogatás, tartalék</t>
  </si>
  <si>
    <t>működési célú támogatások államháztartáson belülre és kívülre</t>
  </si>
  <si>
    <t>11.</t>
  </si>
  <si>
    <t>12.</t>
  </si>
  <si>
    <t>13.</t>
  </si>
  <si>
    <t>14.</t>
  </si>
  <si>
    <t>15.</t>
  </si>
  <si>
    <t>Magyar Szürkék Útja</t>
  </si>
  <si>
    <t>TOP-5.1.1-15-HB1-2016-00001</t>
  </si>
  <si>
    <t>TOP-1.2.1-15-HB1-2016-00020</t>
  </si>
  <si>
    <t>Intenzitás</t>
  </si>
  <si>
    <t>európai uniós forrásból finanszírozott támogatással megvalósuló projektek bevételei és kiadásai</t>
  </si>
  <si>
    <t>európai uniós forrásból finanszírozott támogatással megvalósuló projektek bevételei - részletes költségvetés</t>
  </si>
  <si>
    <t>európai uniós forrásból finanszírozott támogatással megvalósuló projektek kiadásai - részletes költségvetés</t>
  </si>
  <si>
    <t>16.</t>
  </si>
  <si>
    <t>17.</t>
  </si>
  <si>
    <t>18.</t>
  </si>
  <si>
    <t>TOP-5.3.2-17-HB1-2018-00001</t>
  </si>
  <si>
    <t>Hajdú hagyományok nyomában</t>
  </si>
  <si>
    <t>Jelenlegi módosítás</t>
  </si>
  <si>
    <t>Módosított előírányzat</t>
  </si>
  <si>
    <t>összevont költségvetési mérleg</t>
  </si>
  <si>
    <t>RENATUR</t>
  </si>
  <si>
    <t>PGI05798</t>
  </si>
  <si>
    <t>SinCE-AFC</t>
  </si>
  <si>
    <t>PGI05967</t>
  </si>
  <si>
    <t>EFOP - Csökmő</t>
  </si>
  <si>
    <t>EFOP-1.5.3-16-2017-00023</t>
  </si>
  <si>
    <t>EFOP - Esztár</t>
  </si>
  <si>
    <t>EFOP-1.5.3-16-2017-00058</t>
  </si>
  <si>
    <t>EFOP - Hajdúnánás</t>
  </si>
  <si>
    <t>EFOP-1.5.3-16-2017-00021</t>
  </si>
  <si>
    <t>EFOP-1.5.3-16-2017-00014</t>
  </si>
  <si>
    <t>EFOP - Hajdúböszörmény</t>
  </si>
  <si>
    <t>EFOP - Püspökladány</t>
  </si>
  <si>
    <t>EFOP-1.5.3-16-2017-00017</t>
  </si>
  <si>
    <t>19.</t>
  </si>
  <si>
    <t>20.</t>
  </si>
  <si>
    <t>21.</t>
  </si>
  <si>
    <t>Önkormányzati Hivatal bevételei mindösszesen</t>
  </si>
  <si>
    <t>Önkormányzati Hivatal kiadásai mindösszesen</t>
  </si>
  <si>
    <t>10.</t>
  </si>
  <si>
    <t>EFOP-Berettyóújfalu</t>
  </si>
  <si>
    <t>EFOP-1.5.3-16-2017-00057</t>
  </si>
  <si>
    <t>Működési támogatás</t>
  </si>
  <si>
    <t>Felhalm. támogatás</t>
  </si>
  <si>
    <t>B1 rovat</t>
  </si>
  <si>
    <t>B6 rovat</t>
  </si>
  <si>
    <t>8.</t>
  </si>
  <si>
    <t>9.</t>
  </si>
  <si>
    <t>(Ft)</t>
  </si>
  <si>
    <t>( Ft)</t>
  </si>
  <si>
    <t>beruházások, felújítások kiadásai beruházásonként</t>
  </si>
  <si>
    <t>F   e  l  a  d  a t</t>
  </si>
  <si>
    <t>Felhalmozási kiadások mindösszesen</t>
  </si>
  <si>
    <t>Magyar Szürkék Útja pályázat műszaki ellenőri költség</t>
  </si>
  <si>
    <t>Europe Direct Hajdú-Bihar</t>
  </si>
  <si>
    <t>TOP-1.5.1-20-2020-00013</t>
  </si>
  <si>
    <t>2021-27 tervezés előkészítése</t>
  </si>
  <si>
    <t>Kis- és nagyértékű tárgyi eszközök, informatikai eszközök, irodai bútorok beszerzése</t>
  </si>
  <si>
    <t>Hajdúböszörmény - Hajdúvid - Hajdúdorog kerékpárút engedélyes és kiviteli terve</t>
  </si>
  <si>
    <t xml:space="preserve">Hajdúböszörmény - Debrecen (Józsa) kerékpárút engedélyes terve </t>
  </si>
  <si>
    <t>2021-27 tervezés előkészítése pályázat  környezeti hatástanulmányok készítése</t>
  </si>
  <si>
    <t>Kis- és nagyértékű tárgyi eszközök, informatikai eszközök, irodabútorok beszerzése</t>
  </si>
  <si>
    <t>Pénzügyminisztérium - OUR WAY pályázat megelőlegezési támogatásának visszautalása</t>
  </si>
  <si>
    <t>Pénzügyminisztérium - OUR WAY pályázat fel nem használt hazai társfinanszírozási támogatásának visszautalása</t>
  </si>
  <si>
    <t>Pénzügyminisztérium - DelFin pályázat megelőlegezési támogatásának visszautalása</t>
  </si>
  <si>
    <t>Pénzügyminisztérium - DelFin pályázat fel nem használt hazai társfinanszírozási támogatásának visszautalása</t>
  </si>
  <si>
    <t>Pénzügyminisztérium - Healing Places pályázat megelőlegezési támogatásának visszautalása</t>
  </si>
  <si>
    <t>Pénzügyminisztérium - Healing Places pályázat fel nem használt hazai társfinanszírozási támogatásának visszautalása</t>
  </si>
  <si>
    <t>Foglalkoztatási Paktum Plusz pályázat eszközbeszerzés (tárgyi, informatikai eszközök, immateriális javak)</t>
  </si>
  <si>
    <t>Együtt, közösségben Hajdú-Biharban pályázat eszközbeszerzés</t>
  </si>
  <si>
    <t>Europe Direct pályázat eszközbeszerzés</t>
  </si>
  <si>
    <t>SOCRATES</t>
  </si>
  <si>
    <t>Foglalkoztatási Paktum Plusz</t>
  </si>
  <si>
    <t>TOP_PLUSZ-3.1.1-21-HB1-2022-00001</t>
  </si>
  <si>
    <t>Együtt, közösségben Hajdú-Biharban</t>
  </si>
  <si>
    <t>TOP-5.3.2-17-HB1-2021-00002</t>
  </si>
  <si>
    <t>1. melléklet a  .../2023. (...) önkormányzati rendelethez</t>
  </si>
  <si>
    <t>(1. melléklet a 3/2023. (II. 27.) önkormányzati rendelethez)</t>
  </si>
  <si>
    <t>(2. melléklet a 3/2023. (II. 27.) önkormányzati rendelethez)</t>
  </si>
  <si>
    <t>2. melléklet a  .../2023. (...) önkormányzati rendelethez</t>
  </si>
  <si>
    <t>(3. melléklet a 3/2023. (II. 27.) önkormányzati rendelethez)</t>
  </si>
  <si>
    <t>3. melléklet a  .../2023. (...) önkormányzati rendelethez</t>
  </si>
  <si>
    <t>8. melléklet a .../2023. (...) önkormányzati rendelethez</t>
  </si>
  <si>
    <t>9. melléklet a .../2023. (...) önkormányzati rendelethez</t>
  </si>
  <si>
    <t>(8. melléklet a 3/2023. (II. 27.) önkormányzati rendelethez)</t>
  </si>
  <si>
    <t>(9. melléklet a 3/2023. (II. 27.) önkormányzati rendelethez)</t>
  </si>
  <si>
    <t>Hajdú-Bihar Vármegye Önkormányzata</t>
  </si>
  <si>
    <t>2023. évi költségvetés módosítása</t>
  </si>
  <si>
    <t>2023. május 26.</t>
  </si>
  <si>
    <t>Hajdú-Bihar Vármegyei Önkormányzati Hivatal</t>
  </si>
  <si>
    <t>Hajdú-Bihar Vármegye Önkormányzata európai uniós projektjei</t>
  </si>
  <si>
    <t>EXPRESS</t>
  </si>
  <si>
    <t>01C0136</t>
  </si>
  <si>
    <t>GOCORE</t>
  </si>
  <si>
    <t>01C0041</t>
  </si>
  <si>
    <t>SYSTOUR</t>
  </si>
  <si>
    <t>01C0279</t>
  </si>
  <si>
    <t>WEEEWaste</t>
  </si>
  <si>
    <t>01C0027</t>
  </si>
  <si>
    <t>More than a village</t>
  </si>
  <si>
    <t>CE0100085</t>
  </si>
  <si>
    <t>Hajdú-Bihar Vármegye Önkormányzata európai uniós projektjei összesen</t>
  </si>
  <si>
    <t>Hajdú-Bihar Vármegyei Önkormányzati Hivatal európai uniós projektjei</t>
  </si>
  <si>
    <t>Hajdú-Bihar Vármegyei Önkormányzati Hivatal európai uniós projektjei összesen</t>
  </si>
  <si>
    <t>4. melléklet a .../2023. (...) önkormányzati rendelethez</t>
  </si>
  <si>
    <t>(4. melléklet az 3/2023. (II. 27.) önkormányzati rendelethez)</t>
  </si>
  <si>
    <t>5. melléklet a .../2023. (...) önkormányzati rendelethez</t>
  </si>
  <si>
    <t>(5. melléklet az 3/2023. (II. 27.) önkormányzati rendelethez)</t>
  </si>
  <si>
    <t>6. melléklet a .../2023. (...) önkormányzati rendelethez</t>
  </si>
  <si>
    <t>(6. melléklet az 3/2023. (II. 27.) önkormányzati rendelethez)</t>
  </si>
  <si>
    <t>önként vállalt feladatai</t>
  </si>
  <si>
    <t>Megyei Önkormányzatok Országos Szövetsége tagdíj</t>
  </si>
  <si>
    <t>Tisza-Tó Térségi Fejlesztési Tanács tagdíj</t>
  </si>
  <si>
    <t>Hajdú-Bihar Megyei Vásárszövetség tagdíj</t>
  </si>
  <si>
    <t>Elismerésekkel, kitüntetésekkel járó pénzjutalom</t>
  </si>
  <si>
    <t>(7. melléklet a 3/2023. (II. 27.) önkormányzati rendelethez)</t>
  </si>
  <si>
    <t>7. melléklet a .../2023. (...) önkormányzati rendelethez</t>
  </si>
  <si>
    <t>Hajdú-Bihar Vármegye Cigány Területi Nemzetiségi Önkormányzata támogatása</t>
  </si>
  <si>
    <t>Hajdú-Bihar Vármegye Román Területi Nemzetiségi Önkormányzata támogatása</t>
  </si>
  <si>
    <t>Pénzügyminisztérium - SinCE-AFC pályázat megelőlegezési támogatásának visszautalása</t>
  </si>
  <si>
    <t>Pénzügyminisztérium - SinCE-AFC pályázat fel nem használt hazai társfinanszírozási támogatásának visszautalása</t>
  </si>
  <si>
    <t>Pénzügyminisztérium - RENATUR pályázat megelőlegezési támogatásának visszautalása</t>
  </si>
  <si>
    <t>Pénzügyminisztérium - RENATUR pályázat fel nem használt hazai társfinanszírozási támogatásának visszautalása</t>
  </si>
  <si>
    <t>Miniszterelnökség - EFOP-1.5.3 Csökmő pályázat támogatási előleg visszautalása támogatás átadása miatt (Csökmő)</t>
  </si>
  <si>
    <t>Miniszterelnökség - EFOP-1.5.3 Csökmő pályázat fel nem használt támogatás visszautalása</t>
  </si>
  <si>
    <t>Miniszterelnökség - EFOP-1.5.3 Hajdúböszörmény pályázat fel nem használt támogatás visszautalása</t>
  </si>
  <si>
    <t>Miniszterelnökség - EFOP-1.5.3 Esztár pályázat fel nem használt támogatás visszautalása</t>
  </si>
  <si>
    <t>Miniszterelnökség - EFOP-1.5.3 Berettyóújfalu pályázat fel nem használt támogatás visszautalása</t>
  </si>
  <si>
    <t>Hajdú-Bihar Vármegye Önkormányzata felhalmozási kiadások</t>
  </si>
  <si>
    <t>Hajdú-Bihar Vármegye Önkormányzata felhalmozási kiadások összesen</t>
  </si>
  <si>
    <t>Hajdú-Bihar Vármegyei Önkormányzati Hivatal felhalmozási kiadások</t>
  </si>
  <si>
    <t>Hajdú-Bihar Vármegyei Önkormányzati Hivatal felhalmozási kiadások összesen</t>
  </si>
  <si>
    <t>Magyar Szürkék Útja pályázat eszközbeszerzés (rendezvénytechnikai eszköz)</t>
  </si>
  <si>
    <t xml:space="preserve">Hajdú hagyományok nyomában pályázat eszközbeszerzés </t>
  </si>
  <si>
    <t>Együtt, közösségben Hajdú-Biharban pályázat Hajdú-Bihar vármegyei értékeket bemutató kiadvány kézirata</t>
  </si>
  <si>
    <t>2021-27 tervezés előkészítése pályázat eszközbeszerzés</t>
  </si>
  <si>
    <t>2021-27 tervezés előkészítése pályázat Piac 71. energetika és belső átalakítás tervezési díj</t>
  </si>
  <si>
    <t>EXPRESS pályázat eszközbeszerzés</t>
  </si>
  <si>
    <t>More than a village pályázat eszközbeszerzés</t>
  </si>
  <si>
    <t>Személygépjármű beszerzés (2 db)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</si>
</sst>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4"/>
      <color indexed="10"/>
      <name val="Times New Roman"/>
      <family val="1"/>
      <charset val="238"/>
    </font>
    <font>
      <b/>
      <sz val="12"/>
      <name val="Times"/>
      <family val="1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6"/>
      <color rgb="FFC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28"/>
      <color rgb="FFFF0000"/>
      <name val="Times New Roman"/>
      <family val="1"/>
      <charset val="238"/>
    </font>
    <font>
      <sz val="11.5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.5"/>
      <name val="Times New Roman"/>
      <family val="1"/>
      <charset val="238"/>
    </font>
    <font>
      <sz val="8"/>
      <name val="Arial"/>
      <family val="2"/>
      <charset val="238"/>
    </font>
    <font>
      <sz val="14"/>
      <name val="Times New Roman"/>
      <family val="1"/>
      <charset val="238"/>
    </font>
    <font>
      <sz val="18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1" fillId="0" borderId="0"/>
    <xf numFmtId="0" fontId="11" fillId="0" borderId="0"/>
    <xf numFmtId="0" fontId="1" fillId="0" borderId="0"/>
  </cellStyleXfs>
  <cellXfs count="572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/>
    <xf numFmtId="0" fontId="6" fillId="0" borderId="0" xfId="0" applyFont="1"/>
    <xf numFmtId="3" fontId="7" fillId="0" borderId="0" xfId="0" applyNumberFormat="1" applyFont="1" applyAlignment="1">
      <alignment horizontal="right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3" fontId="6" fillId="0" borderId="0" xfId="0" applyNumberFormat="1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Continuous" shrinkToFit="1"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 shrinkToFit="1"/>
    </xf>
    <xf numFmtId="3" fontId="7" fillId="0" borderId="0" xfId="0" applyNumberFormat="1" applyFont="1" applyAlignment="1">
      <alignment horizontal="center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/>
    <xf numFmtId="0" fontId="5" fillId="2" borderId="3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10" fillId="2" borderId="15" xfId="0" applyNumberFormat="1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shrinkToFi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8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3" fontId="6" fillId="0" borderId="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164" fontId="6" fillId="0" borderId="4" xfId="7" applyNumberFormat="1" applyFont="1" applyBorder="1" applyAlignment="1">
      <alignment horizontal="center" vertical="center"/>
    </xf>
    <xf numFmtId="0" fontId="6" fillId="3" borderId="4" xfId="7" applyFont="1" applyFill="1" applyBorder="1" applyAlignment="1">
      <alignment horizontal="center" vertical="center"/>
    </xf>
    <xf numFmtId="3" fontId="24" fillId="0" borderId="4" xfId="0" applyNumberFormat="1" applyFont="1" applyBorder="1" applyAlignment="1">
      <alignment vertical="center"/>
    </xf>
    <xf numFmtId="0" fontId="9" fillId="0" borderId="0" xfId="2" applyFont="1"/>
    <xf numFmtId="0" fontId="5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0" borderId="0" xfId="2" applyFont="1" applyAlignment="1">
      <alignment horizontal="right"/>
    </xf>
    <xf numFmtId="0" fontId="12" fillId="0" borderId="50" xfId="0" applyFont="1" applyBorder="1" applyAlignment="1">
      <alignment horizontal="left" vertical="center"/>
    </xf>
    <xf numFmtId="0" fontId="6" fillId="3" borderId="13" xfId="7" applyFont="1" applyFill="1" applyBorder="1" applyAlignment="1">
      <alignment horizontal="center" vertical="center"/>
    </xf>
    <xf numFmtId="164" fontId="6" fillId="3" borderId="4" xfId="7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0" borderId="4" xfId="7" applyFont="1" applyBorder="1" applyAlignment="1">
      <alignment horizontal="center" vertical="center"/>
    </xf>
    <xf numFmtId="0" fontId="6" fillId="3" borderId="4" xfId="7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/>
    </xf>
    <xf numFmtId="0" fontId="8" fillId="0" borderId="0" xfId="2" applyFont="1" applyAlignment="1">
      <alignment horizontal="centerContinuous"/>
    </xf>
    <xf numFmtId="3" fontId="6" fillId="0" borderId="23" xfId="2" applyNumberFormat="1" applyFont="1" applyBorder="1" applyAlignment="1">
      <alignment vertical="center"/>
    </xf>
    <xf numFmtId="3" fontId="6" fillId="0" borderId="17" xfId="2" applyNumberFormat="1" applyFont="1" applyBorder="1" applyAlignment="1">
      <alignment vertical="center"/>
    </xf>
    <xf numFmtId="3" fontId="6" fillId="0" borderId="4" xfId="2" applyNumberFormat="1" applyFont="1" applyBorder="1" applyAlignment="1">
      <alignment vertical="center"/>
    </xf>
    <xf numFmtId="3" fontId="6" fillId="0" borderId="7" xfId="2" applyNumberFormat="1" applyFont="1" applyBorder="1" applyAlignment="1">
      <alignment vertical="center"/>
    </xf>
    <xf numFmtId="3" fontId="6" fillId="0" borderId="19" xfId="2" applyNumberFormat="1" applyFont="1" applyBorder="1" applyAlignment="1">
      <alignment vertical="center"/>
    </xf>
    <xf numFmtId="3" fontId="6" fillId="0" borderId="25" xfId="2" applyNumberFormat="1" applyFont="1" applyBorder="1" applyAlignment="1">
      <alignment vertical="center"/>
    </xf>
    <xf numFmtId="3" fontId="6" fillId="0" borderId="5" xfId="2" applyNumberFormat="1" applyFont="1" applyBorder="1" applyAlignment="1">
      <alignment vertical="center"/>
    </xf>
    <xf numFmtId="3" fontId="6" fillId="0" borderId="33" xfId="2" applyNumberFormat="1" applyFont="1" applyBorder="1" applyAlignment="1">
      <alignment vertical="center"/>
    </xf>
    <xf numFmtId="3" fontId="6" fillId="0" borderId="15" xfId="2" applyNumberFormat="1" applyFont="1" applyBorder="1" applyAlignment="1">
      <alignment vertical="center"/>
    </xf>
    <xf numFmtId="3" fontId="6" fillId="0" borderId="18" xfId="2" applyNumberFormat="1" applyFont="1" applyBorder="1" applyAlignment="1">
      <alignment vertical="center"/>
    </xf>
    <xf numFmtId="3" fontId="6" fillId="3" borderId="4" xfId="0" applyNumberFormat="1" applyFont="1" applyFill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3" fontId="24" fillId="3" borderId="4" xfId="0" applyNumberFormat="1" applyFont="1" applyFill="1" applyBorder="1" applyAlignment="1">
      <alignment vertical="center"/>
    </xf>
    <xf numFmtId="3" fontId="24" fillId="3" borderId="7" xfId="0" applyNumberFormat="1" applyFont="1" applyFill="1" applyBorder="1" applyAlignment="1">
      <alignment vertical="center"/>
    </xf>
    <xf numFmtId="3" fontId="24" fillId="3" borderId="15" xfId="0" applyNumberFormat="1" applyFont="1" applyFill="1" applyBorder="1" applyAlignment="1">
      <alignment vertical="center"/>
    </xf>
    <xf numFmtId="0" fontId="8" fillId="0" borderId="0" xfId="2" applyFont="1" applyAlignment="1">
      <alignment horizontal="right"/>
    </xf>
    <xf numFmtId="0" fontId="24" fillId="0" borderId="0" xfId="2" applyFont="1"/>
    <xf numFmtId="0" fontId="5" fillId="0" borderId="0" xfId="2" applyFont="1"/>
    <xf numFmtId="0" fontId="6" fillId="0" borderId="0" xfId="2" applyFont="1"/>
    <xf numFmtId="0" fontId="29" fillId="0" borderId="0" xfId="2" applyFont="1"/>
    <xf numFmtId="3" fontId="7" fillId="0" borderId="0" xfId="0" applyNumberFormat="1" applyFont="1"/>
    <xf numFmtId="16" fontId="6" fillId="3" borderId="13" xfId="7" applyNumberFormat="1" applyFont="1" applyFill="1" applyBorder="1" applyAlignment="1">
      <alignment horizontal="center" vertical="center"/>
    </xf>
    <xf numFmtId="0" fontId="32" fillId="0" borderId="0" xfId="0" applyFont="1"/>
    <xf numFmtId="0" fontId="33" fillId="0" borderId="0" xfId="0" applyFont="1"/>
    <xf numFmtId="3" fontId="0" fillId="0" borderId="0" xfId="0" applyNumberFormat="1"/>
    <xf numFmtId="16" fontId="6" fillId="3" borderId="1" xfId="7" applyNumberFormat="1" applyFont="1" applyFill="1" applyBorder="1" applyAlignment="1">
      <alignment horizontal="center" vertical="center"/>
    </xf>
    <xf numFmtId="16" fontId="6" fillId="0" borderId="1" xfId="7" applyNumberFormat="1" applyFont="1" applyBorder="1" applyAlignment="1">
      <alignment horizontal="center" vertical="center"/>
    </xf>
    <xf numFmtId="0" fontId="6" fillId="3" borderId="5" xfId="7" applyFont="1" applyFill="1" applyBorder="1" applyAlignment="1">
      <alignment horizontal="left" vertical="center" wrapText="1"/>
    </xf>
    <xf numFmtId="0" fontId="2" fillId="0" borderId="0" xfId="0" applyFont="1"/>
    <xf numFmtId="0" fontId="7" fillId="0" borderId="0" xfId="2" applyFont="1"/>
    <xf numFmtId="3" fontId="33" fillId="0" borderId="0" xfId="0" applyNumberFormat="1" applyFont="1"/>
    <xf numFmtId="0" fontId="8" fillId="0" borderId="0" xfId="0" applyFont="1" applyAlignment="1">
      <alignment horizontal="right"/>
    </xf>
    <xf numFmtId="0" fontId="5" fillId="5" borderId="16" xfId="0" applyFont="1" applyFill="1" applyBorder="1" applyAlignment="1">
      <alignment horizontal="center" vertical="center" textRotation="90"/>
    </xf>
    <xf numFmtId="0" fontId="5" fillId="5" borderId="36" xfId="0" applyFont="1" applyFill="1" applyBorder="1" applyAlignment="1">
      <alignment horizontal="center" vertical="center"/>
    </xf>
    <xf numFmtId="3" fontId="9" fillId="5" borderId="58" xfId="0" applyNumberFormat="1" applyFont="1" applyFill="1" applyBorder="1" applyAlignment="1">
      <alignment horizontal="center" vertical="center" wrapText="1"/>
    </xf>
    <xf numFmtId="3" fontId="9" fillId="5" borderId="64" xfId="0" applyNumberFormat="1" applyFont="1" applyFill="1" applyBorder="1" applyAlignment="1">
      <alignment horizontal="center" vertical="center" wrapText="1"/>
    </xf>
    <xf numFmtId="3" fontId="9" fillId="5" borderId="63" xfId="0" applyNumberFormat="1" applyFont="1" applyFill="1" applyBorder="1" applyAlignment="1">
      <alignment horizontal="center" vertical="center" wrapText="1"/>
    </xf>
    <xf numFmtId="3" fontId="6" fillId="3" borderId="40" xfId="7" applyNumberFormat="1" applyFont="1" applyFill="1" applyBorder="1" applyAlignment="1">
      <alignment horizontal="right" vertical="center" wrapText="1"/>
    </xf>
    <xf numFmtId="3" fontId="5" fillId="5" borderId="20" xfId="0" applyNumberFormat="1" applyFont="1" applyFill="1" applyBorder="1" applyAlignment="1">
      <alignment horizontal="right" vertical="center"/>
    </xf>
    <xf numFmtId="3" fontId="5" fillId="5" borderId="8" xfId="0" applyNumberFormat="1" applyFont="1" applyFill="1" applyBorder="1" applyAlignment="1">
      <alignment horizontal="right" vertical="center"/>
    </xf>
    <xf numFmtId="3" fontId="5" fillId="5" borderId="65" xfId="0" applyNumberFormat="1" applyFont="1" applyFill="1" applyBorder="1" applyAlignment="1">
      <alignment horizontal="right" vertical="center"/>
    </xf>
    <xf numFmtId="0" fontId="6" fillId="3" borderId="5" xfId="7" applyFont="1" applyFill="1" applyBorder="1" applyAlignment="1">
      <alignment horizontal="left" vertical="center"/>
    </xf>
    <xf numFmtId="3" fontId="6" fillId="3" borderId="30" xfId="7" applyNumberFormat="1" applyFont="1" applyFill="1" applyBorder="1" applyAlignment="1">
      <alignment horizontal="right" vertical="center" wrapText="1"/>
    </xf>
    <xf numFmtId="3" fontId="6" fillId="3" borderId="23" xfId="7" applyNumberFormat="1" applyFont="1" applyFill="1" applyBorder="1" applyAlignment="1">
      <alignment vertical="center" wrapText="1"/>
    </xf>
    <xf numFmtId="0" fontId="6" fillId="3" borderId="4" xfId="7" applyFont="1" applyFill="1" applyBorder="1" applyAlignment="1">
      <alignment vertical="center" wrapText="1"/>
    </xf>
    <xf numFmtId="3" fontId="6" fillId="3" borderId="4" xfId="0" applyNumberFormat="1" applyFont="1" applyFill="1" applyBorder="1" applyAlignment="1">
      <alignment horizontal="right" vertical="center"/>
    </xf>
    <xf numFmtId="3" fontId="6" fillId="3" borderId="40" xfId="0" applyNumberFormat="1" applyFont="1" applyFill="1" applyBorder="1" applyAlignment="1">
      <alignment horizontal="right" vertical="center"/>
    </xf>
    <xf numFmtId="3" fontId="6" fillId="3" borderId="15" xfId="0" applyNumberFormat="1" applyFont="1" applyFill="1" applyBorder="1" applyAlignment="1">
      <alignment horizontal="right" vertical="center"/>
    </xf>
    <xf numFmtId="3" fontId="5" fillId="4" borderId="28" xfId="0" applyNumberFormat="1" applyFont="1" applyFill="1" applyBorder="1" applyAlignment="1">
      <alignment horizontal="right" vertical="center"/>
    </xf>
    <xf numFmtId="3" fontId="24" fillId="0" borderId="40" xfId="0" applyNumberFormat="1" applyFont="1" applyBorder="1" applyAlignment="1">
      <alignment horizontal="right" vertical="center"/>
    </xf>
    <xf numFmtId="3" fontId="5" fillId="5" borderId="62" xfId="0" applyNumberFormat="1" applyFont="1" applyFill="1" applyBorder="1" applyAlignment="1">
      <alignment horizontal="right" vertical="center"/>
    </xf>
    <xf numFmtId="3" fontId="5" fillId="5" borderId="64" xfId="0" applyNumberFormat="1" applyFont="1" applyFill="1" applyBorder="1" applyAlignment="1">
      <alignment horizontal="right" vertical="center"/>
    </xf>
    <xf numFmtId="3" fontId="5" fillId="5" borderId="63" xfId="0" applyNumberFormat="1" applyFont="1" applyFill="1" applyBorder="1" applyAlignment="1">
      <alignment horizontal="right" vertical="center"/>
    </xf>
    <xf numFmtId="3" fontId="5" fillId="0" borderId="50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24" fillId="0" borderId="6" xfId="0" applyNumberFormat="1" applyFont="1" applyBorder="1" applyAlignment="1">
      <alignment horizontal="right" vertical="center"/>
    </xf>
    <xf numFmtId="3" fontId="24" fillId="0" borderId="22" xfId="0" applyNumberFormat="1" applyFont="1" applyBorder="1" applyAlignment="1">
      <alignment horizontal="right" vertical="center"/>
    </xf>
    <xf numFmtId="3" fontId="27" fillId="5" borderId="4" xfId="0" applyNumberFormat="1" applyFont="1" applyFill="1" applyBorder="1" applyAlignment="1">
      <alignment horizontal="center" vertical="center" wrapText="1"/>
    </xf>
    <xf numFmtId="3" fontId="5" fillId="5" borderId="4" xfId="0" applyNumberFormat="1" applyFont="1" applyFill="1" applyBorder="1" applyAlignment="1">
      <alignment horizontal="center" vertical="center" wrapText="1"/>
    </xf>
    <xf numFmtId="0" fontId="5" fillId="5" borderId="8" xfId="7" applyFont="1" applyFill="1" applyBorder="1" applyAlignment="1">
      <alignment horizontal="center" vertical="center"/>
    </xf>
    <xf numFmtId="3" fontId="5" fillId="5" borderId="8" xfId="0" applyNumberFormat="1" applyFont="1" applyFill="1" applyBorder="1" applyAlignment="1">
      <alignment vertical="center"/>
    </xf>
    <xf numFmtId="3" fontId="5" fillId="5" borderId="11" xfId="0" applyNumberFormat="1" applyFont="1" applyFill="1" applyBorder="1" applyAlignment="1">
      <alignment vertical="center"/>
    </xf>
    <xf numFmtId="3" fontId="20" fillId="5" borderId="23" xfId="2" applyNumberFormat="1" applyFont="1" applyFill="1" applyBorder="1" applyAlignment="1">
      <alignment vertical="center"/>
    </xf>
    <xf numFmtId="3" fontId="20" fillId="5" borderId="25" xfId="2" applyNumberFormat="1" applyFont="1" applyFill="1" applyBorder="1" applyAlignment="1">
      <alignment vertical="center"/>
    </xf>
    <xf numFmtId="3" fontId="5" fillId="5" borderId="8" xfId="2" applyNumberFormat="1" applyFont="1" applyFill="1" applyBorder="1"/>
    <xf numFmtId="3" fontId="5" fillId="5" borderId="11" xfId="2" applyNumberFormat="1" applyFont="1" applyFill="1" applyBorder="1"/>
    <xf numFmtId="3" fontId="5" fillId="5" borderId="8" xfId="2" applyNumberFormat="1" applyFont="1" applyFill="1" applyBorder="1" applyAlignment="1">
      <alignment horizontal="center" vertical="center" wrapText="1"/>
    </xf>
    <xf numFmtId="3" fontId="16" fillId="5" borderId="8" xfId="2" applyNumberFormat="1" applyFont="1" applyFill="1" applyBorder="1" applyAlignment="1">
      <alignment horizontal="center" vertical="center" wrapText="1"/>
    </xf>
    <xf numFmtId="0" fontId="5" fillId="5" borderId="20" xfId="2" applyFont="1" applyFill="1" applyBorder="1" applyAlignment="1">
      <alignment horizontal="center" vertical="center"/>
    </xf>
    <xf numFmtId="0" fontId="5" fillId="5" borderId="11" xfId="2" applyFont="1" applyFill="1" applyBorder="1" applyAlignment="1">
      <alignment horizontal="center" vertical="center"/>
    </xf>
    <xf numFmtId="0" fontId="18" fillId="5" borderId="43" xfId="0" applyFont="1" applyFill="1" applyBorder="1" applyAlignment="1">
      <alignment horizontal="center" vertical="center" wrapText="1"/>
    </xf>
    <xf numFmtId="3" fontId="22" fillId="5" borderId="14" xfId="0" applyNumberFormat="1" applyFont="1" applyFill="1" applyBorder="1" applyAlignment="1">
      <alignment horizontal="center" vertical="center" textRotation="180" wrapText="1"/>
    </xf>
    <xf numFmtId="3" fontId="7" fillId="5" borderId="8" xfId="0" applyNumberFormat="1" applyFont="1" applyFill="1" applyBorder="1" applyAlignment="1">
      <alignment horizontal="center" vertical="center" textRotation="180" wrapText="1"/>
    </xf>
    <xf numFmtId="3" fontId="5" fillId="5" borderId="8" xfId="0" applyNumberFormat="1" applyFont="1" applyFill="1" applyBorder="1" applyAlignment="1">
      <alignment horizontal="center" vertical="center" wrapText="1"/>
    </xf>
    <xf numFmtId="3" fontId="5" fillId="5" borderId="26" xfId="0" applyNumberFormat="1" applyFont="1" applyFill="1" applyBorder="1" applyAlignment="1">
      <alignment horizontal="center" vertical="center" wrapText="1"/>
    </xf>
    <xf numFmtId="3" fontId="5" fillId="5" borderId="11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 vertical="center" wrapText="1"/>
    </xf>
    <xf numFmtId="3" fontId="9" fillId="0" borderId="22" xfId="0" applyNumberFormat="1" applyFont="1" applyBorder="1" applyAlignment="1">
      <alignment horizontal="right" vertical="center" wrapText="1"/>
    </xf>
    <xf numFmtId="3" fontId="12" fillId="0" borderId="4" xfId="0" applyNumberFormat="1" applyFont="1" applyBorder="1" applyAlignment="1" applyProtection="1">
      <alignment horizontal="right" vertical="center" wrapText="1"/>
      <protection locked="0"/>
    </xf>
    <xf numFmtId="3" fontId="12" fillId="0" borderId="22" xfId="0" applyNumberFormat="1" applyFont="1" applyBorder="1" applyAlignment="1" applyProtection="1">
      <alignment horizontal="right" vertical="center" wrapText="1"/>
      <protection locked="0"/>
    </xf>
    <xf numFmtId="3" fontId="12" fillId="0" borderId="7" xfId="0" applyNumberFormat="1" applyFont="1" applyBorder="1" applyAlignment="1" applyProtection="1">
      <alignment horizontal="right" vertical="center" wrapText="1"/>
      <protection locked="0"/>
    </xf>
    <xf numFmtId="3" fontId="9" fillId="0" borderId="4" xfId="0" applyNumberFormat="1" applyFont="1" applyBorder="1" applyAlignment="1">
      <alignment horizontal="right" vertical="center"/>
    </xf>
    <xf numFmtId="3" fontId="9" fillId="0" borderId="22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 wrapText="1"/>
    </xf>
    <xf numFmtId="3" fontId="12" fillId="0" borderId="50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 applyProtection="1">
      <alignment horizontal="right" vertical="center" wrapText="1"/>
      <protection locked="0"/>
    </xf>
    <xf numFmtId="3" fontId="10" fillId="0" borderId="15" xfId="0" applyNumberFormat="1" applyFont="1" applyBorder="1" applyAlignment="1" applyProtection="1">
      <alignment horizontal="right" vertical="center" wrapText="1"/>
      <protection locked="0"/>
    </xf>
    <xf numFmtId="3" fontId="12" fillId="0" borderId="15" xfId="0" applyNumberFormat="1" applyFont="1" applyBorder="1" applyAlignment="1" applyProtection="1">
      <alignment horizontal="right" vertical="center" wrapText="1"/>
      <protection locked="0"/>
    </xf>
    <xf numFmtId="3" fontId="9" fillId="2" borderId="4" xfId="0" applyNumberFormat="1" applyFont="1" applyFill="1" applyBorder="1" applyAlignment="1">
      <alignment horizontal="right" vertical="center" wrapText="1"/>
    </xf>
    <xf numFmtId="3" fontId="9" fillId="2" borderId="7" xfId="0" applyNumberFormat="1" applyFont="1" applyFill="1" applyBorder="1" applyAlignment="1">
      <alignment horizontal="right" vertical="center" wrapText="1"/>
    </xf>
    <xf numFmtId="3" fontId="12" fillId="2" borderId="4" xfId="0" applyNumberFormat="1" applyFont="1" applyFill="1" applyBorder="1" applyAlignment="1">
      <alignment horizontal="right" vertical="center" wrapText="1"/>
    </xf>
    <xf numFmtId="3" fontId="12" fillId="2" borderId="7" xfId="0" applyNumberFormat="1" applyFont="1" applyFill="1" applyBorder="1" applyAlignment="1">
      <alignment horizontal="right" vertical="center" wrapText="1"/>
    </xf>
    <xf numFmtId="3" fontId="12" fillId="2" borderId="15" xfId="0" applyNumberFormat="1" applyFont="1" applyFill="1" applyBorder="1" applyAlignment="1">
      <alignment horizontal="right" vertical="center" wrapText="1"/>
    </xf>
    <xf numFmtId="3" fontId="12" fillId="2" borderId="9" xfId="0" applyNumberFormat="1" applyFont="1" applyFill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3" fontId="9" fillId="2" borderId="23" xfId="0" applyNumberFormat="1" applyFont="1" applyFill="1" applyBorder="1" applyAlignment="1">
      <alignment horizontal="right" vertical="center" wrapText="1"/>
    </xf>
    <xf numFmtId="3" fontId="9" fillId="0" borderId="25" xfId="0" applyNumberFormat="1" applyFont="1" applyBorder="1" applyAlignment="1">
      <alignment horizontal="right" vertical="center" wrapText="1"/>
    </xf>
    <xf numFmtId="3" fontId="9" fillId="2" borderId="17" xfId="0" applyNumberFormat="1" applyFont="1" applyFill="1" applyBorder="1" applyAlignment="1">
      <alignment horizontal="right" vertical="center" wrapText="1"/>
    </xf>
    <xf numFmtId="3" fontId="9" fillId="0" borderId="23" xfId="0" applyNumberFormat="1" applyFont="1" applyBorder="1" applyAlignment="1">
      <alignment horizontal="right" vertical="center" wrapText="1"/>
    </xf>
    <xf numFmtId="3" fontId="9" fillId="0" borderId="17" xfId="0" applyNumberFormat="1" applyFont="1" applyBorder="1" applyAlignment="1">
      <alignment horizontal="right" vertical="center" wrapText="1"/>
    </xf>
    <xf numFmtId="3" fontId="25" fillId="5" borderId="8" xfId="0" applyNumberFormat="1" applyFont="1" applyFill="1" applyBorder="1" applyAlignment="1">
      <alignment horizontal="right" vertical="center" wrapText="1"/>
    </xf>
    <xf numFmtId="3" fontId="25" fillId="5" borderId="8" xfId="0" applyNumberFormat="1" applyFont="1" applyFill="1" applyBorder="1" applyAlignment="1">
      <alignment horizontal="center" vertical="center" wrapText="1"/>
    </xf>
    <xf numFmtId="3" fontId="25" fillId="5" borderId="11" xfId="0" applyNumberFormat="1" applyFont="1" applyFill="1" applyBorder="1" applyAlignment="1">
      <alignment horizontal="center" vertical="center" wrapText="1"/>
    </xf>
    <xf numFmtId="3" fontId="9" fillId="5" borderId="8" xfId="0" applyNumberFormat="1" applyFont="1" applyFill="1" applyBorder="1" applyAlignment="1">
      <alignment horizontal="right" vertical="center" wrapText="1"/>
    </xf>
    <xf numFmtId="0" fontId="25" fillId="5" borderId="8" xfId="0" applyFont="1" applyFill="1" applyBorder="1" applyAlignment="1">
      <alignment horizontal="left" vertical="center" wrapText="1"/>
    </xf>
    <xf numFmtId="0" fontId="25" fillId="5" borderId="21" xfId="0" applyFont="1" applyFill="1" applyBorder="1" applyAlignment="1">
      <alignment horizontal="left" vertical="center" wrapText="1"/>
    </xf>
    <xf numFmtId="3" fontId="26" fillId="5" borderId="11" xfId="0" applyNumberFormat="1" applyFont="1" applyFill="1" applyBorder="1" applyAlignment="1">
      <alignment horizontal="center" vertical="center" wrapText="1"/>
    </xf>
    <xf numFmtId="3" fontId="9" fillId="5" borderId="24" xfId="0" applyNumberFormat="1" applyFont="1" applyFill="1" applyBorder="1" applyAlignment="1">
      <alignment horizontal="center" vertical="center" wrapText="1"/>
    </xf>
    <xf numFmtId="3" fontId="9" fillId="5" borderId="32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/>
    </xf>
    <xf numFmtId="3" fontId="9" fillId="6" borderId="4" xfId="0" applyNumberFormat="1" applyFont="1" applyFill="1" applyBorder="1" applyAlignment="1">
      <alignment horizontal="right" vertical="center" wrapText="1"/>
    </xf>
    <xf numFmtId="3" fontId="5" fillId="6" borderId="3" xfId="0" applyNumberFormat="1" applyFont="1" applyFill="1" applyBorder="1" applyAlignment="1">
      <alignment horizontal="center" vertical="center" wrapText="1"/>
    </xf>
    <xf numFmtId="3" fontId="9" fillId="6" borderId="7" xfId="0" applyNumberFormat="1" applyFont="1" applyFill="1" applyBorder="1" applyAlignment="1">
      <alignment horizontal="right" vertical="center" wrapText="1"/>
    </xf>
    <xf numFmtId="0" fontId="9" fillId="6" borderId="2" xfId="0" applyFont="1" applyFill="1" applyBorder="1" applyAlignment="1">
      <alignment vertical="center"/>
    </xf>
    <xf numFmtId="3" fontId="10" fillId="6" borderId="4" xfId="0" applyNumberFormat="1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left" vertical="center"/>
    </xf>
    <xf numFmtId="3" fontId="12" fillId="6" borderId="4" xfId="0" applyNumberFormat="1" applyFont="1" applyFill="1" applyBorder="1" applyAlignment="1">
      <alignment horizontal="right" vertical="center" wrapText="1"/>
    </xf>
    <xf numFmtId="3" fontId="5" fillId="6" borderId="2" xfId="0" applyNumberFormat="1" applyFont="1" applyFill="1" applyBorder="1" applyAlignment="1">
      <alignment vertical="center" wrapText="1"/>
    </xf>
    <xf numFmtId="3" fontId="12" fillId="6" borderId="7" xfId="0" applyNumberFormat="1" applyFont="1" applyFill="1" applyBorder="1" applyAlignment="1">
      <alignment horizontal="right" vertical="center" wrapText="1"/>
    </xf>
    <xf numFmtId="0" fontId="9" fillId="6" borderId="12" xfId="0" applyFont="1" applyFill="1" applyBorder="1" applyAlignment="1">
      <alignment vertical="center"/>
    </xf>
    <xf numFmtId="3" fontId="10" fillId="6" borderId="8" xfId="0" applyNumberFormat="1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left" vertical="center"/>
    </xf>
    <xf numFmtId="3" fontId="12" fillId="6" borderId="8" xfId="0" applyNumberFormat="1" applyFont="1" applyFill="1" applyBorder="1" applyAlignment="1">
      <alignment horizontal="right" vertical="center" wrapText="1"/>
    </xf>
    <xf numFmtId="3" fontId="5" fillId="6" borderId="12" xfId="0" applyNumberFormat="1" applyFont="1" applyFill="1" applyBorder="1" applyAlignment="1">
      <alignment vertical="center" wrapText="1"/>
    </xf>
    <xf numFmtId="3" fontId="12" fillId="6" borderId="11" xfId="0" applyNumberFormat="1" applyFont="1" applyFill="1" applyBorder="1" applyAlignment="1">
      <alignment horizontal="right" vertical="center" wrapText="1"/>
    </xf>
    <xf numFmtId="3" fontId="10" fillId="0" borderId="7" xfId="0" applyNumberFormat="1" applyFont="1" applyBorder="1" applyAlignment="1" applyProtection="1">
      <alignment horizontal="right" vertical="center" wrapText="1"/>
      <protection locked="0"/>
    </xf>
    <xf numFmtId="3" fontId="25" fillId="5" borderId="11" xfId="0" applyNumberFormat="1" applyFont="1" applyFill="1" applyBorder="1" applyAlignment="1">
      <alignment horizontal="right" vertical="center" wrapText="1"/>
    </xf>
    <xf numFmtId="3" fontId="25" fillId="5" borderId="21" xfId="0" applyNumberFormat="1" applyFont="1" applyFill="1" applyBorder="1" applyAlignment="1">
      <alignment horizontal="right" vertical="center" wrapText="1"/>
    </xf>
    <xf numFmtId="3" fontId="9" fillId="5" borderId="26" xfId="0" applyNumberFormat="1" applyFont="1" applyFill="1" applyBorder="1" applyAlignment="1">
      <alignment horizontal="right" vertical="center" wrapText="1"/>
    </xf>
    <xf numFmtId="3" fontId="9" fillId="5" borderId="11" xfId="0" applyNumberFormat="1" applyFont="1" applyFill="1" applyBorder="1" applyAlignment="1">
      <alignment horizontal="right" vertical="center" wrapText="1"/>
    </xf>
    <xf numFmtId="0" fontId="25" fillId="5" borderId="8" xfId="0" applyFont="1" applyFill="1" applyBorder="1" applyAlignment="1">
      <alignment horizontal="right" vertical="center" wrapText="1"/>
    </xf>
    <xf numFmtId="3" fontId="26" fillId="5" borderId="11" xfId="0" applyNumberFormat="1" applyFont="1" applyFill="1" applyBorder="1" applyAlignment="1">
      <alignment horizontal="right" vertical="center" wrapText="1"/>
    </xf>
    <xf numFmtId="3" fontId="9" fillId="5" borderId="24" xfId="0" applyNumberFormat="1" applyFont="1" applyFill="1" applyBorder="1" applyAlignment="1">
      <alignment horizontal="right" vertical="center" wrapText="1"/>
    </xf>
    <xf numFmtId="3" fontId="9" fillId="5" borderId="32" xfId="0" applyNumberFormat="1" applyFont="1" applyFill="1" applyBorder="1" applyAlignment="1">
      <alignment horizontal="right" vertical="center" wrapText="1"/>
    </xf>
    <xf numFmtId="3" fontId="9" fillId="5" borderId="64" xfId="0" applyNumberFormat="1" applyFont="1" applyFill="1" applyBorder="1" applyAlignment="1">
      <alignment horizontal="right" vertical="center" wrapText="1"/>
    </xf>
    <xf numFmtId="3" fontId="9" fillId="2" borderId="25" xfId="0" applyNumberFormat="1" applyFont="1" applyFill="1" applyBorder="1" applyAlignment="1">
      <alignment horizontal="right" vertical="center" wrapText="1"/>
    </xf>
    <xf numFmtId="0" fontId="25" fillId="5" borderId="64" xfId="0" applyFont="1" applyFill="1" applyBorder="1" applyAlignment="1">
      <alignment horizontal="right" vertical="center" wrapText="1"/>
    </xf>
    <xf numFmtId="3" fontId="25" fillId="5" borderId="62" xfId="0" applyNumberFormat="1" applyFont="1" applyFill="1" applyBorder="1" applyAlignment="1">
      <alignment horizontal="right" vertical="center" wrapText="1"/>
    </xf>
    <xf numFmtId="3" fontId="26" fillId="5" borderId="67" xfId="0" applyNumberFormat="1" applyFont="1" applyFill="1" applyBorder="1" applyAlignment="1">
      <alignment horizontal="right" vertical="center" wrapText="1"/>
    </xf>
    <xf numFmtId="3" fontId="6" fillId="3" borderId="0" xfId="0" applyNumberFormat="1" applyFont="1" applyFill="1"/>
    <xf numFmtId="0" fontId="6" fillId="3" borderId="0" xfId="0" applyFont="1" applyFill="1"/>
    <xf numFmtId="0" fontId="24" fillId="3" borderId="0" xfId="0" applyFont="1" applyFill="1"/>
    <xf numFmtId="0" fontId="6" fillId="0" borderId="13" xfId="7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3" fontId="5" fillId="5" borderId="8" xfId="2" applyNumberFormat="1" applyFont="1" applyFill="1" applyBorder="1" applyAlignment="1">
      <alignment vertical="center"/>
    </xf>
    <xf numFmtId="3" fontId="5" fillId="5" borderId="11" xfId="2" applyNumberFormat="1" applyFont="1" applyFill="1" applyBorder="1" applyAlignment="1">
      <alignment vertical="center"/>
    </xf>
    <xf numFmtId="3" fontId="20" fillId="5" borderId="24" xfId="2" applyNumberFormat="1" applyFont="1" applyFill="1" applyBorder="1" applyAlignment="1">
      <alignment vertical="center"/>
    </xf>
    <xf numFmtId="3" fontId="20" fillId="5" borderId="32" xfId="2" applyNumberFormat="1" applyFont="1" applyFill="1" applyBorder="1" applyAlignment="1">
      <alignment vertical="center"/>
    </xf>
    <xf numFmtId="3" fontId="9" fillId="5" borderId="24" xfId="2" applyNumberFormat="1" applyFont="1" applyFill="1" applyBorder="1" applyAlignment="1">
      <alignment horizontal="center" vertical="center" wrapText="1"/>
    </xf>
    <xf numFmtId="0" fontId="6" fillId="0" borderId="23" xfId="7" applyFont="1" applyBorder="1" applyAlignment="1">
      <alignment horizontal="center" vertical="center"/>
    </xf>
    <xf numFmtId="0" fontId="6" fillId="0" borderId="4" xfId="7" applyFont="1" applyBorder="1" applyAlignment="1">
      <alignment horizontal="center" vertical="center"/>
    </xf>
    <xf numFmtId="0" fontId="5" fillId="6" borderId="8" xfId="7" applyFont="1" applyFill="1" applyBorder="1" applyAlignment="1">
      <alignment horizontal="center" vertical="center"/>
    </xf>
    <xf numFmtId="3" fontId="5" fillId="6" borderId="8" xfId="2" applyNumberFormat="1" applyFont="1" applyFill="1" applyBorder="1" applyAlignment="1">
      <alignment vertical="center"/>
    </xf>
    <xf numFmtId="3" fontId="5" fillId="6" borderId="11" xfId="2" applyNumberFormat="1" applyFont="1" applyFill="1" applyBorder="1" applyAlignment="1">
      <alignment vertical="center"/>
    </xf>
    <xf numFmtId="0" fontId="6" fillId="3" borderId="23" xfId="7" applyFont="1" applyFill="1" applyBorder="1" applyAlignment="1">
      <alignment horizontal="center" vertical="center"/>
    </xf>
    <xf numFmtId="3" fontId="6" fillId="3" borderId="23" xfId="2" applyNumberFormat="1" applyFont="1" applyFill="1" applyBorder="1" applyAlignment="1">
      <alignment vertical="center"/>
    </xf>
    <xf numFmtId="3" fontId="6" fillId="3" borderId="17" xfId="2" applyNumberFormat="1" applyFont="1" applyFill="1" applyBorder="1" applyAlignment="1">
      <alignment vertical="center"/>
    </xf>
    <xf numFmtId="0" fontId="6" fillId="3" borderId="0" xfId="2" applyFont="1" applyFill="1"/>
    <xf numFmtId="0" fontId="6" fillId="3" borderId="25" xfId="7" applyFont="1" applyFill="1" applyBorder="1" applyAlignment="1">
      <alignment horizontal="center" vertical="center"/>
    </xf>
    <xf numFmtId="3" fontId="6" fillId="3" borderId="19" xfId="2" applyNumberFormat="1" applyFont="1" applyFill="1" applyBorder="1" applyAlignment="1">
      <alignment vertical="center"/>
    </xf>
    <xf numFmtId="0" fontId="6" fillId="0" borderId="25" xfId="7" applyFont="1" applyBorder="1" applyAlignment="1">
      <alignment horizontal="center" vertical="center"/>
    </xf>
    <xf numFmtId="0" fontId="8" fillId="5" borderId="23" xfId="7" applyFont="1" applyFill="1" applyBorder="1" applyAlignment="1">
      <alignment horizontal="center" vertical="center"/>
    </xf>
    <xf numFmtId="3" fontId="20" fillId="5" borderId="17" xfId="2" applyNumberFormat="1" applyFont="1" applyFill="1" applyBorder="1" applyAlignment="1">
      <alignment vertical="center"/>
    </xf>
    <xf numFmtId="0" fontId="5" fillId="5" borderId="4" xfId="7" applyFont="1" applyFill="1" applyBorder="1" applyAlignment="1">
      <alignment horizontal="center" vertical="center"/>
    </xf>
    <xf numFmtId="3" fontId="20" fillId="5" borderId="19" xfId="2" applyNumberFormat="1" applyFont="1" applyFill="1" applyBorder="1" applyAlignment="1">
      <alignment vertical="center"/>
    </xf>
    <xf numFmtId="3" fontId="6" fillId="3" borderId="33" xfId="2" applyNumberFormat="1" applyFont="1" applyFill="1" applyBorder="1" applyAlignment="1">
      <alignment vertical="center"/>
    </xf>
    <xf numFmtId="3" fontId="6" fillId="3" borderId="4" xfId="2" applyNumberFormat="1" applyFont="1" applyFill="1" applyBorder="1" applyAlignment="1">
      <alignment vertical="center"/>
    </xf>
    <xf numFmtId="3" fontId="6" fillId="3" borderId="5" xfId="2" applyNumberFormat="1" applyFont="1" applyFill="1" applyBorder="1" applyAlignment="1">
      <alignment vertical="center"/>
    </xf>
    <xf numFmtId="3" fontId="6" fillId="3" borderId="25" xfId="2" applyNumberFormat="1" applyFont="1" applyFill="1" applyBorder="1" applyAlignment="1">
      <alignment vertical="center"/>
    </xf>
    <xf numFmtId="3" fontId="6" fillId="3" borderId="18" xfId="2" applyNumberFormat="1" applyFont="1" applyFill="1" applyBorder="1" applyAlignment="1">
      <alignment vertical="center"/>
    </xf>
    <xf numFmtId="3" fontId="6" fillId="3" borderId="15" xfId="2" applyNumberFormat="1" applyFont="1" applyFill="1" applyBorder="1" applyAlignment="1">
      <alignment vertical="center"/>
    </xf>
    <xf numFmtId="3" fontId="5" fillId="6" borderId="15" xfId="2" applyNumberFormat="1" applyFont="1" applyFill="1" applyBorder="1" applyAlignment="1">
      <alignment vertical="center"/>
    </xf>
    <xf numFmtId="3" fontId="5" fillId="6" borderId="9" xfId="2" applyNumberFormat="1" applyFont="1" applyFill="1" applyBorder="1" applyAlignment="1">
      <alignment vertical="center"/>
    </xf>
    <xf numFmtId="0" fontId="5" fillId="5" borderId="25" xfId="7" applyFont="1" applyFill="1" applyBorder="1" applyAlignment="1">
      <alignment horizontal="center" vertical="center"/>
    </xf>
    <xf numFmtId="0" fontId="5" fillId="5" borderId="24" xfId="7" applyFont="1" applyFill="1" applyBorder="1" applyAlignment="1">
      <alignment horizontal="center" vertical="center"/>
    </xf>
    <xf numFmtId="3" fontId="12" fillId="3" borderId="50" xfId="0" applyNumberFormat="1" applyFont="1" applyFill="1" applyBorder="1" applyAlignment="1">
      <alignment horizontal="right" vertical="center"/>
    </xf>
    <xf numFmtId="3" fontId="10" fillId="3" borderId="50" xfId="0" applyNumberFormat="1" applyFont="1" applyFill="1" applyBorder="1" applyAlignment="1">
      <alignment horizontal="right" vertical="center"/>
    </xf>
    <xf numFmtId="3" fontId="5" fillId="5" borderId="11" xfId="0" applyNumberFormat="1" applyFont="1" applyFill="1" applyBorder="1" applyAlignment="1">
      <alignment horizontal="right" vertical="center"/>
    </xf>
    <xf numFmtId="0" fontId="6" fillId="3" borderId="25" xfId="7" applyFont="1" applyFill="1" applyBorder="1" applyAlignment="1">
      <alignment vertical="center" wrapText="1"/>
    </xf>
    <xf numFmtId="0" fontId="6" fillId="0" borderId="4" xfId="7" applyFont="1" applyBorder="1" applyAlignment="1">
      <alignment horizontal="center" vertical="center" wrapText="1"/>
    </xf>
    <xf numFmtId="0" fontId="7" fillId="0" borderId="4" xfId="7" applyFont="1" applyBorder="1" applyAlignment="1">
      <alignment horizontal="center" vertical="center"/>
    </xf>
    <xf numFmtId="0" fontId="13" fillId="0" borderId="4" xfId="7" applyFont="1" applyBorder="1" applyAlignment="1">
      <alignment horizontal="center" vertical="center" wrapText="1"/>
    </xf>
    <xf numFmtId="0" fontId="6" fillId="3" borderId="15" xfId="7" applyFont="1" applyFill="1" applyBorder="1" applyAlignment="1">
      <alignment horizontal="center" vertical="center"/>
    </xf>
    <xf numFmtId="3" fontId="24" fillId="3" borderId="0" xfId="0" applyNumberFormat="1" applyFont="1" applyFill="1"/>
    <xf numFmtId="0" fontId="13" fillId="3" borderId="4" xfId="7" applyFont="1" applyFill="1" applyBorder="1" applyAlignment="1">
      <alignment horizontal="center" vertical="center"/>
    </xf>
    <xf numFmtId="0" fontId="13" fillId="3" borderId="4" xfId="7" applyFont="1" applyFill="1" applyBorder="1" applyAlignment="1">
      <alignment horizontal="center" vertical="center" wrapText="1"/>
    </xf>
    <xf numFmtId="0" fontId="6" fillId="0" borderId="33" xfId="7" applyFont="1" applyBorder="1" applyAlignment="1">
      <alignment horizontal="center" vertical="center"/>
    </xf>
    <xf numFmtId="0" fontId="6" fillId="0" borderId="5" xfId="7" applyFont="1" applyBorder="1" applyAlignment="1">
      <alignment horizontal="center" vertical="center"/>
    </xf>
    <xf numFmtId="0" fontId="5" fillId="6" borderId="20" xfId="7" applyFont="1" applyFill="1" applyBorder="1" applyAlignment="1">
      <alignment horizontal="center" vertical="center"/>
    </xf>
    <xf numFmtId="0" fontId="6" fillId="3" borderId="33" xfId="7" applyFont="1" applyFill="1" applyBorder="1" applyAlignment="1">
      <alignment horizontal="center" vertical="center"/>
    </xf>
    <xf numFmtId="0" fontId="6" fillId="3" borderId="18" xfId="7" applyFont="1" applyFill="1" applyBorder="1" applyAlignment="1">
      <alignment horizontal="center" vertical="center"/>
    </xf>
    <xf numFmtId="0" fontId="6" fillId="0" borderId="18" xfId="7" applyFont="1" applyBorder="1" applyAlignment="1">
      <alignment horizontal="center" vertical="center"/>
    </xf>
    <xf numFmtId="0" fontId="5" fillId="6" borderId="69" xfId="7" applyFont="1" applyFill="1" applyBorder="1" applyAlignment="1">
      <alignment horizontal="center" vertical="center"/>
    </xf>
    <xf numFmtId="0" fontId="5" fillId="6" borderId="15" xfId="7" applyFont="1" applyFill="1" applyBorder="1" applyAlignment="1">
      <alignment horizontal="center" vertical="center"/>
    </xf>
    <xf numFmtId="3" fontId="5" fillId="5" borderId="67" xfId="0" applyNumberFormat="1" applyFont="1" applyFill="1" applyBorder="1" applyAlignment="1">
      <alignment vertical="center"/>
    </xf>
    <xf numFmtId="0" fontId="37" fillId="7" borderId="0" xfId="0" applyFont="1" applyFill="1" applyAlignment="1">
      <alignment horizontal="center"/>
    </xf>
    <xf numFmtId="0" fontId="5" fillId="7" borderId="0" xfId="0" applyFont="1" applyFill="1" applyAlignment="1">
      <alignment vertical="center" shrinkToFit="1"/>
    </xf>
    <xf numFmtId="3" fontId="5" fillId="7" borderId="0" xfId="0" applyNumberFormat="1" applyFont="1" applyFill="1" applyAlignment="1">
      <alignment vertical="center"/>
    </xf>
    <xf numFmtId="0" fontId="38" fillId="0" borderId="0" xfId="0" applyFont="1" applyAlignment="1">
      <alignment shrinkToFit="1"/>
    </xf>
    <xf numFmtId="3" fontId="6" fillId="0" borderId="5" xfId="0" applyNumberFormat="1" applyFont="1" applyBorder="1" applyAlignment="1">
      <alignment vertical="center"/>
    </xf>
    <xf numFmtId="3" fontId="6" fillId="0" borderId="69" xfId="0" applyNumberFormat="1" applyFont="1" applyBorder="1" applyAlignment="1">
      <alignment vertical="center"/>
    </xf>
    <xf numFmtId="3" fontId="5" fillId="5" borderId="71" xfId="0" applyNumberFormat="1" applyFont="1" applyFill="1" applyBorder="1" applyAlignment="1">
      <alignment vertical="center"/>
    </xf>
    <xf numFmtId="0" fontId="6" fillId="0" borderId="1" xfId="7" applyFont="1" applyBorder="1" applyAlignment="1">
      <alignment horizontal="center" vertical="center"/>
    </xf>
    <xf numFmtId="3" fontId="6" fillId="0" borderId="18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3" fontId="6" fillId="0" borderId="40" xfId="0" applyNumberFormat="1" applyFont="1" applyBorder="1" applyAlignment="1">
      <alignment vertical="center"/>
    </xf>
    <xf numFmtId="0" fontId="6" fillId="0" borderId="3" xfId="7" applyFont="1" applyBorder="1" applyAlignment="1">
      <alignment horizontal="center" vertical="center"/>
    </xf>
    <xf numFmtId="3" fontId="5" fillId="3" borderId="6" xfId="0" applyNumberFormat="1" applyFont="1" applyFill="1" applyBorder="1" applyAlignment="1">
      <alignment vertical="center"/>
    </xf>
    <xf numFmtId="3" fontId="6" fillId="3" borderId="50" xfId="0" applyNumberFormat="1" applyFont="1" applyFill="1" applyBorder="1" applyAlignment="1">
      <alignment vertical="center"/>
    </xf>
    <xf numFmtId="3" fontId="6" fillId="3" borderId="69" xfId="0" applyNumberFormat="1" applyFont="1" applyFill="1" applyBorder="1" applyAlignment="1">
      <alignment horizontal="right" vertical="center"/>
    </xf>
    <xf numFmtId="3" fontId="6" fillId="3" borderId="5" xfId="0" applyNumberFormat="1" applyFont="1" applyFill="1" applyBorder="1" applyAlignment="1">
      <alignment horizontal="right" vertical="center"/>
    </xf>
    <xf numFmtId="3" fontId="6" fillId="3" borderId="18" xfId="0" applyNumberFormat="1" applyFont="1" applyFill="1" applyBorder="1" applyAlignment="1">
      <alignment horizontal="right" vertical="center"/>
    </xf>
    <xf numFmtId="3" fontId="6" fillId="3" borderId="38" xfId="0" applyNumberFormat="1" applyFont="1" applyFill="1" applyBorder="1" applyAlignment="1">
      <alignment vertical="center"/>
    </xf>
    <xf numFmtId="3" fontId="5" fillId="3" borderId="50" xfId="0" applyNumberFormat="1" applyFont="1" applyFill="1" applyBorder="1" applyAlignment="1">
      <alignment vertical="center"/>
    </xf>
    <xf numFmtId="3" fontId="5" fillId="4" borderId="52" xfId="0" applyNumberFormat="1" applyFont="1" applyFill="1" applyBorder="1" applyAlignment="1">
      <alignment vertical="center"/>
    </xf>
    <xf numFmtId="3" fontId="5" fillId="4" borderId="41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Alignment="1">
      <alignment horizontal="right" vertical="center"/>
    </xf>
    <xf numFmtId="3" fontId="5" fillId="4" borderId="48" xfId="0" applyNumberFormat="1" applyFont="1" applyFill="1" applyBorder="1" applyAlignment="1">
      <alignment horizontal="right" vertical="center"/>
    </xf>
    <xf numFmtId="3" fontId="6" fillId="3" borderId="5" xfId="7" applyNumberFormat="1" applyFont="1" applyFill="1" applyBorder="1" applyAlignment="1">
      <alignment vertical="center" wrapText="1"/>
    </xf>
    <xf numFmtId="3" fontId="6" fillId="3" borderId="69" xfId="7" applyNumberFormat="1" applyFont="1" applyFill="1" applyBorder="1" applyAlignment="1">
      <alignment vertical="center" wrapText="1"/>
    </xf>
    <xf numFmtId="3" fontId="6" fillId="3" borderId="4" xfId="7" applyNumberFormat="1" applyFont="1" applyFill="1" applyBorder="1" applyAlignment="1">
      <alignment horizontal="right" vertical="center" wrapText="1"/>
    </xf>
    <xf numFmtId="3" fontId="6" fillId="3" borderId="15" xfId="7" applyNumberFormat="1" applyFont="1" applyFill="1" applyBorder="1" applyAlignment="1">
      <alignment horizontal="right" vertical="center" wrapText="1"/>
    </xf>
    <xf numFmtId="3" fontId="6" fillId="3" borderId="18" xfId="7" applyNumberFormat="1" applyFont="1" applyFill="1" applyBorder="1" applyAlignment="1">
      <alignment vertical="center" wrapText="1"/>
    </xf>
    <xf numFmtId="3" fontId="6" fillId="3" borderId="25" xfId="7" applyNumberFormat="1" applyFont="1" applyFill="1" applyBorder="1" applyAlignment="1">
      <alignment horizontal="right" vertical="center" wrapText="1"/>
    </xf>
    <xf numFmtId="16" fontId="6" fillId="3" borderId="3" xfId="7" applyNumberFormat="1" applyFont="1" applyFill="1" applyBorder="1" applyAlignment="1">
      <alignment horizontal="center" vertical="center"/>
    </xf>
    <xf numFmtId="3" fontId="6" fillId="3" borderId="48" xfId="7" applyNumberFormat="1" applyFont="1" applyFill="1" applyBorder="1" applyAlignment="1">
      <alignment horizontal="right" vertical="center" wrapText="1"/>
    </xf>
    <xf numFmtId="3" fontId="5" fillId="3" borderId="4" xfId="0" applyNumberFormat="1" applyFont="1" applyFill="1" applyBorder="1" applyAlignment="1">
      <alignment vertical="center"/>
    </xf>
    <xf numFmtId="3" fontId="6" fillId="3" borderId="7" xfId="7" applyNumberFormat="1" applyFont="1" applyFill="1" applyBorder="1" applyAlignment="1">
      <alignment horizontal="right" vertical="center" wrapText="1"/>
    </xf>
    <xf numFmtId="3" fontId="32" fillId="0" borderId="0" xfId="0" applyNumberFormat="1" applyFont="1"/>
    <xf numFmtId="3" fontId="5" fillId="4" borderId="8" xfId="0" applyNumberFormat="1" applyFont="1" applyFill="1" applyBorder="1" applyAlignment="1">
      <alignment vertical="center"/>
    </xf>
    <xf numFmtId="49" fontId="9" fillId="6" borderId="15" xfId="0" applyNumberFormat="1" applyFont="1" applyFill="1" applyBorder="1" applyAlignment="1">
      <alignment horizontal="center" vertical="center" wrapText="1"/>
    </xf>
    <xf numFmtId="49" fontId="9" fillId="6" borderId="41" xfId="0" applyNumberFormat="1" applyFont="1" applyFill="1" applyBorder="1" applyAlignment="1">
      <alignment horizontal="center" vertical="center" wrapText="1"/>
    </xf>
    <xf numFmtId="49" fontId="9" fillId="6" borderId="2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8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0" fontId="5" fillId="6" borderId="5" xfId="0" applyFont="1" applyFill="1" applyBorder="1" applyAlignment="1">
      <alignment horizontal="left" vertical="center" wrapText="1"/>
    </xf>
    <xf numFmtId="0" fontId="5" fillId="6" borderId="50" xfId="0" applyFont="1" applyFill="1" applyBorder="1" applyAlignment="1">
      <alignment horizontal="left" vertical="center" wrapText="1"/>
    </xf>
    <xf numFmtId="0" fontId="5" fillId="6" borderId="22" xfId="0" applyFont="1" applyFill="1" applyBorder="1" applyAlignment="1">
      <alignment horizontal="left" vertical="center" wrapText="1"/>
    </xf>
    <xf numFmtId="0" fontId="5" fillId="5" borderId="44" xfId="0" applyFont="1" applyFill="1" applyBorder="1" applyAlignment="1">
      <alignment horizontal="left" vertical="center" wrapText="1"/>
    </xf>
    <xf numFmtId="0" fontId="5" fillId="5" borderId="21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50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49" fontId="8" fillId="2" borderId="15" xfId="0" applyNumberFormat="1" applyFont="1" applyFill="1" applyBorder="1" applyAlignment="1">
      <alignment horizontal="center" vertical="center" wrapText="1"/>
    </xf>
    <xf numFmtId="49" fontId="8" fillId="2" borderId="41" xfId="0" applyNumberFormat="1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vertical="center" wrapText="1"/>
    </xf>
    <xf numFmtId="49" fontId="8" fillId="2" borderId="27" xfId="0" applyNumberFormat="1" applyFont="1" applyFill="1" applyBorder="1" applyAlignment="1">
      <alignment horizontal="center" vertical="center" wrapText="1"/>
    </xf>
    <xf numFmtId="0" fontId="25" fillId="5" borderId="66" xfId="0" applyFont="1" applyFill="1" applyBorder="1" applyAlignment="1">
      <alignment horizontal="left" vertical="center" wrapText="1"/>
    </xf>
    <xf numFmtId="0" fontId="25" fillId="5" borderId="64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38" xfId="0" applyFont="1" applyFill="1" applyBorder="1" applyAlignment="1">
      <alignment horizontal="left"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49" fontId="9" fillId="2" borderId="15" xfId="0" applyNumberFormat="1" applyFont="1" applyFill="1" applyBorder="1" applyAlignment="1">
      <alignment horizontal="center" vertical="center" wrapText="1"/>
    </xf>
    <xf numFmtId="49" fontId="9" fillId="2" borderId="41" xfId="0" applyNumberFormat="1" applyFont="1" applyFill="1" applyBorder="1" applyAlignment="1">
      <alignment horizontal="center" vertical="center" wrapText="1"/>
    </xf>
    <xf numFmtId="49" fontId="9" fillId="2" borderId="25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top" wrapText="1"/>
    </xf>
    <xf numFmtId="3" fontId="8" fillId="2" borderId="1" xfId="0" applyNumberFormat="1" applyFont="1" applyFill="1" applyBorder="1" applyAlignment="1">
      <alignment horizontal="center" vertical="top" wrapText="1"/>
    </xf>
    <xf numFmtId="49" fontId="9" fillId="2" borderId="22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41" xfId="0" applyNumberFormat="1" applyFont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25" fillId="5" borderId="44" xfId="0" applyFont="1" applyFill="1" applyBorder="1" applyAlignment="1">
      <alignment horizontal="left" vertical="center" wrapText="1"/>
    </xf>
    <xf numFmtId="0" fontId="25" fillId="5" borderId="21" xfId="0" applyFont="1" applyFill="1" applyBorder="1" applyAlignment="1">
      <alignment horizontal="left" vertical="center" wrapText="1"/>
    </xf>
    <xf numFmtId="0" fontId="25" fillId="5" borderId="26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5" fillId="2" borderId="39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49" fontId="16" fillId="2" borderId="15" xfId="0" applyNumberFormat="1" applyFont="1" applyFill="1" applyBorder="1" applyAlignment="1">
      <alignment horizontal="center" vertical="center" wrapText="1"/>
    </xf>
    <xf numFmtId="49" fontId="16" fillId="2" borderId="41" xfId="0" applyNumberFormat="1" applyFont="1" applyFill="1" applyBorder="1" applyAlignment="1">
      <alignment horizontal="center" vertical="center" wrapText="1"/>
    </xf>
    <xf numFmtId="49" fontId="16" fillId="2" borderId="25" xfId="0" applyNumberFormat="1" applyFont="1" applyFill="1" applyBorder="1" applyAlignment="1">
      <alignment horizontal="center" vertical="center" wrapText="1"/>
    </xf>
    <xf numFmtId="49" fontId="17" fillId="2" borderId="22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5" borderId="42" xfId="0" applyFont="1" applyFill="1" applyBorder="1" applyAlignment="1">
      <alignment horizontal="center" vertical="center" wrapText="1"/>
    </xf>
    <xf numFmtId="0" fontId="18" fillId="5" borderId="43" xfId="0" applyFont="1" applyFill="1" applyBorder="1" applyAlignment="1">
      <alignment horizontal="center" vertical="center" wrapText="1"/>
    </xf>
    <xf numFmtId="0" fontId="18" fillId="5" borderId="31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3" fontId="8" fillId="5" borderId="20" xfId="0" applyNumberFormat="1" applyFont="1" applyFill="1" applyBorder="1" applyAlignment="1">
      <alignment horizontal="center" vertical="center" wrapText="1"/>
    </xf>
    <xf numFmtId="3" fontId="8" fillId="5" borderId="26" xfId="0" applyNumberFormat="1" applyFont="1" applyFill="1" applyBorder="1" applyAlignment="1">
      <alignment horizontal="center" vertical="center" wrapText="1"/>
    </xf>
    <xf numFmtId="0" fontId="9" fillId="0" borderId="0" xfId="2" applyFont="1" applyAlignment="1">
      <alignment horizontal="right"/>
    </xf>
    <xf numFmtId="0" fontId="25" fillId="5" borderId="14" xfId="0" applyFont="1" applyFill="1" applyBorder="1" applyAlignment="1">
      <alignment horizontal="left" vertical="center" wrapText="1"/>
    </xf>
    <xf numFmtId="0" fontId="25" fillId="5" borderId="8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5" fillId="5" borderId="1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5" fillId="0" borderId="52" xfId="0" applyFont="1" applyBorder="1" applyAlignment="1">
      <alignment horizontal="right"/>
    </xf>
    <xf numFmtId="0" fontId="20" fillId="5" borderId="51" xfId="7" applyFont="1" applyFill="1" applyBorder="1" applyAlignment="1">
      <alignment horizontal="center" vertical="center" shrinkToFit="1"/>
    </xf>
    <xf numFmtId="0" fontId="20" fillId="5" borderId="52" xfId="7" applyFont="1" applyFill="1" applyBorder="1" applyAlignment="1">
      <alignment horizontal="center" vertical="center" shrinkToFit="1"/>
    </xf>
    <xf numFmtId="0" fontId="9" fillId="5" borderId="29" xfId="0" applyFont="1" applyFill="1" applyBorder="1" applyAlignment="1">
      <alignment horizontal="center" vertical="center" textRotation="90"/>
    </xf>
    <xf numFmtId="0" fontId="9" fillId="5" borderId="13" xfId="0" applyFont="1" applyFill="1" applyBorder="1" applyAlignment="1">
      <alignment horizontal="center" vertical="center" textRotation="90"/>
    </xf>
    <xf numFmtId="0" fontId="9" fillId="5" borderId="14" xfId="0" applyFont="1" applyFill="1" applyBorder="1" applyAlignment="1">
      <alignment horizontal="center" vertical="center" textRotation="90"/>
    </xf>
    <xf numFmtId="0" fontId="5" fillId="5" borderId="23" xfId="0" applyFont="1" applyFill="1" applyBorder="1" applyAlignment="1">
      <alignment horizontal="center" vertical="center"/>
    </xf>
    <xf numFmtId="3" fontId="5" fillId="5" borderId="23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3" fontId="5" fillId="5" borderId="4" xfId="0" applyNumberFormat="1" applyFont="1" applyFill="1" applyBorder="1" applyAlignment="1">
      <alignment horizontal="center" vertical="center" wrapText="1"/>
    </xf>
    <xf numFmtId="3" fontId="5" fillId="5" borderId="8" xfId="0" applyNumberFormat="1" applyFont="1" applyFill="1" applyBorder="1" applyAlignment="1">
      <alignment horizontal="center" vertical="center" wrapText="1"/>
    </xf>
    <xf numFmtId="0" fontId="9" fillId="5" borderId="14" xfId="7" applyFont="1" applyFill="1" applyBorder="1" applyAlignment="1">
      <alignment horizontal="center" vertical="center"/>
    </xf>
    <xf numFmtId="0" fontId="9" fillId="5" borderId="8" xfId="7" applyFont="1" applyFill="1" applyBorder="1" applyAlignment="1">
      <alignment horizontal="center" vertical="center"/>
    </xf>
    <xf numFmtId="0" fontId="9" fillId="5" borderId="35" xfId="2" applyFont="1" applyFill="1" applyBorder="1" applyAlignment="1">
      <alignment horizontal="center" vertical="center"/>
    </xf>
    <xf numFmtId="0" fontId="9" fillId="5" borderId="53" xfId="2" applyFont="1" applyFill="1" applyBorder="1" applyAlignment="1">
      <alignment horizontal="center" vertical="center"/>
    </xf>
    <xf numFmtId="0" fontId="9" fillId="5" borderId="54" xfId="2" applyFont="1" applyFill="1" applyBorder="1" applyAlignment="1">
      <alignment horizontal="center" vertical="center"/>
    </xf>
    <xf numFmtId="0" fontId="35" fillId="5" borderId="14" xfId="7" applyFont="1" applyFill="1" applyBorder="1" applyAlignment="1">
      <alignment horizontal="center" vertical="center"/>
    </xf>
    <xf numFmtId="0" fontId="35" fillId="5" borderId="8" xfId="7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9" fillId="5" borderId="53" xfId="0" applyFont="1" applyFill="1" applyBorder="1" applyAlignment="1">
      <alignment horizontal="center" vertical="center"/>
    </xf>
    <xf numFmtId="0" fontId="9" fillId="5" borderId="54" xfId="0" applyFont="1" applyFill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5" fillId="0" borderId="52" xfId="2" applyFont="1" applyBorder="1" applyAlignment="1">
      <alignment horizontal="right"/>
    </xf>
    <xf numFmtId="0" fontId="9" fillId="5" borderId="16" xfId="2" applyFont="1" applyFill="1" applyBorder="1" applyAlignment="1">
      <alignment horizontal="center" vertical="center" textRotation="90"/>
    </xf>
    <xf numFmtId="0" fontId="9" fillId="5" borderId="2" xfId="2" applyFont="1" applyFill="1" applyBorder="1" applyAlignment="1">
      <alignment horizontal="center" vertical="center" textRotation="90"/>
    </xf>
    <xf numFmtId="0" fontId="9" fillId="5" borderId="12" xfId="2" applyFont="1" applyFill="1" applyBorder="1" applyAlignment="1">
      <alignment horizontal="center" vertical="center" textRotation="90"/>
    </xf>
    <xf numFmtId="0" fontId="5" fillId="5" borderId="33" xfId="2" applyFont="1" applyFill="1" applyBorder="1" applyAlignment="1">
      <alignment horizontal="center" vertical="center"/>
    </xf>
    <xf numFmtId="0" fontId="5" fillId="5" borderId="43" xfId="2" applyFont="1" applyFill="1" applyBorder="1" applyAlignment="1">
      <alignment horizontal="center" vertical="center"/>
    </xf>
    <xf numFmtId="0" fontId="5" fillId="5" borderId="30" xfId="2" applyFont="1" applyFill="1" applyBorder="1" applyAlignment="1">
      <alignment horizontal="center" vertical="center"/>
    </xf>
    <xf numFmtId="3" fontId="5" fillId="5" borderId="33" xfId="2" applyNumberFormat="1" applyFont="1" applyFill="1" applyBorder="1" applyAlignment="1">
      <alignment horizontal="center" vertical="center" wrapText="1"/>
    </xf>
    <xf numFmtId="3" fontId="5" fillId="5" borderId="43" xfId="2" applyNumberFormat="1" applyFont="1" applyFill="1" applyBorder="1" applyAlignment="1">
      <alignment horizontal="center" vertical="center" wrapText="1"/>
    </xf>
    <xf numFmtId="3" fontId="5" fillId="5" borderId="30" xfId="2" applyNumberFormat="1" applyFont="1" applyFill="1" applyBorder="1" applyAlignment="1">
      <alignment horizontal="center" vertical="center" wrapText="1"/>
    </xf>
    <xf numFmtId="0" fontId="5" fillId="5" borderId="36" xfId="2" applyFont="1" applyFill="1" applyBorder="1" applyAlignment="1">
      <alignment horizontal="center" vertical="center"/>
    </xf>
    <xf numFmtId="0" fontId="5" fillId="5" borderId="41" xfId="2" applyFont="1" applyFill="1" applyBorder="1" applyAlignment="1">
      <alignment horizontal="center" vertical="center"/>
    </xf>
    <xf numFmtId="0" fontId="5" fillId="5" borderId="24" xfId="2" applyFont="1" applyFill="1" applyBorder="1" applyAlignment="1">
      <alignment horizontal="center" vertical="center"/>
    </xf>
    <xf numFmtId="0" fontId="5" fillId="5" borderId="37" xfId="2" applyFont="1" applyFill="1" applyBorder="1" applyAlignment="1">
      <alignment horizontal="center" vertical="center"/>
    </xf>
    <xf numFmtId="0" fontId="5" fillId="5" borderId="57" xfId="2" applyFont="1" applyFill="1" applyBorder="1" applyAlignment="1">
      <alignment horizontal="center" vertical="center"/>
    </xf>
    <xf numFmtId="0" fontId="5" fillId="5" borderId="32" xfId="2" applyFont="1" applyFill="1" applyBorder="1" applyAlignment="1">
      <alignment horizontal="center" vertical="center"/>
    </xf>
    <xf numFmtId="0" fontId="5" fillId="5" borderId="15" xfId="2" applyFont="1" applyFill="1" applyBorder="1" applyAlignment="1">
      <alignment horizontal="center" vertical="center"/>
    </xf>
    <xf numFmtId="0" fontId="8" fillId="5" borderId="15" xfId="2" applyFont="1" applyFill="1" applyBorder="1" applyAlignment="1">
      <alignment horizontal="center" vertical="center"/>
    </xf>
    <xf numFmtId="0" fontId="8" fillId="5" borderId="41" xfId="2" applyFont="1" applyFill="1" applyBorder="1" applyAlignment="1">
      <alignment horizontal="center" vertical="center"/>
    </xf>
    <xf numFmtId="0" fontId="8" fillId="5" borderId="24" xfId="2" applyFont="1" applyFill="1" applyBorder="1" applyAlignment="1">
      <alignment horizontal="center" vertical="center"/>
    </xf>
    <xf numFmtId="3" fontId="5" fillId="5" borderId="5" xfId="2" applyNumberFormat="1" applyFont="1" applyFill="1" applyBorder="1" applyAlignment="1">
      <alignment horizontal="center" vertical="center" wrapText="1"/>
    </xf>
    <xf numFmtId="3" fontId="5" fillId="5" borderId="50" xfId="2" applyNumberFormat="1" applyFont="1" applyFill="1" applyBorder="1" applyAlignment="1">
      <alignment horizontal="center" vertical="center" wrapText="1"/>
    </xf>
    <xf numFmtId="3" fontId="5" fillId="5" borderId="22" xfId="2" applyNumberFormat="1" applyFont="1" applyFill="1" applyBorder="1" applyAlignment="1">
      <alignment horizontal="center" vertical="center" wrapText="1"/>
    </xf>
    <xf numFmtId="3" fontId="5" fillId="5" borderId="15" xfId="2" applyNumberFormat="1" applyFont="1" applyFill="1" applyBorder="1" applyAlignment="1">
      <alignment horizontal="center" vertical="center" wrapText="1"/>
    </xf>
    <xf numFmtId="3" fontId="5" fillId="5" borderId="24" xfId="2" applyNumberFormat="1" applyFont="1" applyFill="1" applyBorder="1" applyAlignment="1">
      <alignment horizontal="center" vertical="center" wrapText="1"/>
    </xf>
    <xf numFmtId="3" fontId="8" fillId="5" borderId="15" xfId="2" applyNumberFormat="1" applyFont="1" applyFill="1" applyBorder="1" applyAlignment="1">
      <alignment horizontal="center" vertical="center" wrapText="1"/>
    </xf>
    <xf numFmtId="3" fontId="8" fillId="5" borderId="24" xfId="2" applyNumberFormat="1" applyFont="1" applyFill="1" applyBorder="1" applyAlignment="1">
      <alignment horizontal="center" vertical="center" wrapText="1"/>
    </xf>
    <xf numFmtId="0" fontId="25" fillId="0" borderId="0" xfId="2" applyFont="1" applyAlignment="1">
      <alignment horizontal="center"/>
    </xf>
    <xf numFmtId="0" fontId="6" fillId="3" borderId="16" xfId="7" applyFont="1" applyFill="1" applyBorder="1" applyAlignment="1">
      <alignment horizontal="center" vertical="center"/>
    </xf>
    <xf numFmtId="0" fontId="6" fillId="3" borderId="2" xfId="7" applyFont="1" applyFill="1" applyBorder="1" applyAlignment="1">
      <alignment horizontal="center" vertical="center"/>
    </xf>
    <xf numFmtId="0" fontId="6" fillId="3" borderId="12" xfId="7" applyFont="1" applyFill="1" applyBorder="1" applyAlignment="1">
      <alignment horizontal="center" vertical="center"/>
    </xf>
    <xf numFmtId="0" fontId="6" fillId="3" borderId="36" xfId="7" applyFont="1" applyFill="1" applyBorder="1" applyAlignment="1">
      <alignment horizontal="center" vertical="center"/>
    </xf>
    <xf numFmtId="0" fontId="6" fillId="3" borderId="41" xfId="7" applyFont="1" applyFill="1" applyBorder="1" applyAlignment="1">
      <alignment horizontal="center" vertical="center"/>
    </xf>
    <xf numFmtId="0" fontId="6" fillId="3" borderId="24" xfId="7" applyFont="1" applyFill="1" applyBorder="1" applyAlignment="1">
      <alignment horizontal="center" vertical="center"/>
    </xf>
    <xf numFmtId="164" fontId="6" fillId="3" borderId="36" xfId="7" applyNumberFormat="1" applyFont="1" applyFill="1" applyBorder="1" applyAlignment="1">
      <alignment horizontal="center" vertical="center"/>
    </xf>
    <xf numFmtId="164" fontId="6" fillId="3" borderId="41" xfId="7" applyNumberFormat="1" applyFont="1" applyFill="1" applyBorder="1" applyAlignment="1">
      <alignment horizontal="center" vertical="center"/>
    </xf>
    <xf numFmtId="164" fontId="6" fillId="3" borderId="24" xfId="7" applyNumberFormat="1" applyFont="1" applyFill="1" applyBorder="1" applyAlignment="1">
      <alignment horizontal="center" vertical="center"/>
    </xf>
    <xf numFmtId="0" fontId="6" fillId="3" borderId="41" xfId="7" applyFont="1" applyFill="1" applyBorder="1" applyAlignment="1">
      <alignment horizontal="center" vertical="center" wrapText="1"/>
    </xf>
    <xf numFmtId="0" fontId="6" fillId="3" borderId="24" xfId="7" applyFont="1" applyFill="1" applyBorder="1" applyAlignment="1">
      <alignment horizontal="center" vertical="center" wrapText="1"/>
    </xf>
    <xf numFmtId="0" fontId="13" fillId="3" borderId="41" xfId="7" applyFont="1" applyFill="1" applyBorder="1" applyAlignment="1">
      <alignment horizontal="center" vertical="center"/>
    </xf>
    <xf numFmtId="0" fontId="13" fillId="3" borderId="24" xfId="7" applyFont="1" applyFill="1" applyBorder="1" applyAlignment="1">
      <alignment horizontal="center" vertical="center"/>
    </xf>
    <xf numFmtId="0" fontId="6" fillId="3" borderId="36" xfId="7" applyFont="1" applyFill="1" applyBorder="1" applyAlignment="1">
      <alignment horizontal="center" vertical="center" wrapText="1"/>
    </xf>
    <xf numFmtId="0" fontId="13" fillId="3" borderId="36" xfId="2" applyFont="1" applyFill="1" applyBorder="1" applyAlignment="1">
      <alignment horizontal="center" vertical="center"/>
    </xf>
    <xf numFmtId="0" fontId="13" fillId="3" borderId="41" xfId="2" applyFont="1" applyFill="1" applyBorder="1" applyAlignment="1">
      <alignment horizontal="center" vertical="center"/>
    </xf>
    <xf numFmtId="0" fontId="13" fillId="3" borderId="24" xfId="2" applyFont="1" applyFill="1" applyBorder="1" applyAlignment="1">
      <alignment horizontal="center" vertical="center"/>
    </xf>
    <xf numFmtId="0" fontId="30" fillId="3" borderId="36" xfId="7" applyFont="1" applyFill="1" applyBorder="1" applyAlignment="1">
      <alignment horizontal="center" vertical="center" wrapText="1"/>
    </xf>
    <xf numFmtId="0" fontId="30" fillId="3" borderId="41" xfId="7" applyFont="1" applyFill="1" applyBorder="1" applyAlignment="1">
      <alignment horizontal="center" vertical="center" wrapText="1"/>
    </xf>
    <xf numFmtId="0" fontId="30" fillId="3" borderId="24" xfId="7" applyFont="1" applyFill="1" applyBorder="1" applyAlignment="1">
      <alignment horizontal="center" vertical="center" wrapText="1"/>
    </xf>
    <xf numFmtId="0" fontId="13" fillId="3" borderId="36" xfId="7" applyFont="1" applyFill="1" applyBorder="1" applyAlignment="1">
      <alignment horizontal="center" vertical="center"/>
    </xf>
    <xf numFmtId="0" fontId="13" fillId="0" borderId="36" xfId="7" applyFont="1" applyBorder="1" applyAlignment="1">
      <alignment horizontal="center" vertical="center" wrapText="1"/>
    </xf>
    <xf numFmtId="0" fontId="13" fillId="0" borderId="41" xfId="7" applyFont="1" applyBorder="1" applyAlignment="1">
      <alignment horizontal="center" vertical="center" wrapText="1"/>
    </xf>
    <xf numFmtId="0" fontId="13" fillId="0" borderId="24" xfId="7" applyFont="1" applyBorder="1" applyAlignment="1">
      <alignment horizontal="center" vertical="center" wrapText="1"/>
    </xf>
    <xf numFmtId="0" fontId="20" fillId="5" borderId="35" xfId="7" applyFont="1" applyFill="1" applyBorder="1" applyAlignment="1">
      <alignment horizontal="center" vertical="center" shrinkToFit="1"/>
    </xf>
    <xf numFmtId="0" fontId="20" fillId="5" borderId="53" xfId="7" applyFont="1" applyFill="1" applyBorder="1" applyAlignment="1">
      <alignment horizontal="center" vertical="center" shrinkToFit="1"/>
    </xf>
    <xf numFmtId="0" fontId="20" fillId="5" borderId="55" xfId="7" applyFont="1" applyFill="1" applyBorder="1" applyAlignment="1">
      <alignment horizontal="center" vertical="center" shrinkToFit="1"/>
    </xf>
    <xf numFmtId="0" fontId="20" fillId="5" borderId="47" xfId="7" applyFont="1" applyFill="1" applyBorder="1" applyAlignment="1">
      <alignment horizontal="center" vertical="center" shrinkToFit="1"/>
    </xf>
    <xf numFmtId="0" fontId="20" fillId="5" borderId="0" xfId="7" applyFont="1" applyFill="1" applyAlignment="1">
      <alignment horizontal="center" vertical="center" shrinkToFit="1"/>
    </xf>
    <xf numFmtId="0" fontId="20" fillId="5" borderId="56" xfId="7" applyFont="1" applyFill="1" applyBorder="1" applyAlignment="1">
      <alignment horizontal="center" vertical="center" shrinkToFit="1"/>
    </xf>
    <xf numFmtId="0" fontId="20" fillId="5" borderId="34" xfId="7" applyFont="1" applyFill="1" applyBorder="1" applyAlignment="1">
      <alignment horizontal="center" vertical="center" shrinkToFit="1"/>
    </xf>
    <xf numFmtId="3" fontId="5" fillId="5" borderId="6" xfId="2" applyNumberFormat="1" applyFont="1" applyFill="1" applyBorder="1" applyAlignment="1">
      <alignment horizontal="center" vertical="center" wrapText="1"/>
    </xf>
    <xf numFmtId="3" fontId="5" fillId="5" borderId="31" xfId="2" applyNumberFormat="1" applyFont="1" applyFill="1" applyBorder="1" applyAlignment="1">
      <alignment horizontal="center" vertical="center" wrapText="1"/>
    </xf>
    <xf numFmtId="0" fontId="25" fillId="5" borderId="15" xfId="2" applyFont="1" applyFill="1" applyBorder="1" applyAlignment="1">
      <alignment horizontal="center" vertical="center"/>
    </xf>
    <xf numFmtId="0" fontId="25" fillId="5" borderId="24" xfId="2" applyFont="1" applyFill="1" applyBorder="1" applyAlignment="1">
      <alignment horizontal="center" vertical="center"/>
    </xf>
    <xf numFmtId="0" fontId="24" fillId="0" borderId="53" xfId="2" applyFont="1" applyBorder="1" applyAlignment="1">
      <alignment horizontal="left"/>
    </xf>
    <xf numFmtId="0" fontId="6" fillId="0" borderId="5" xfId="0" applyFont="1" applyBorder="1" applyAlignment="1">
      <alignment vertical="center" shrinkToFit="1"/>
    </xf>
    <xf numFmtId="0" fontId="6" fillId="0" borderId="50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50" xfId="0" applyFont="1" applyBorder="1" applyAlignment="1">
      <alignment horizontal="left" vertical="center" shrinkToFit="1"/>
    </xf>
    <xf numFmtId="0" fontId="6" fillId="0" borderId="69" xfId="0" applyFont="1" applyBorder="1" applyAlignment="1">
      <alignment vertical="center" shrinkToFit="1"/>
    </xf>
    <xf numFmtId="0" fontId="6" fillId="0" borderId="46" xfId="0" applyFont="1" applyBorder="1" applyAlignment="1">
      <alignment vertical="center" shrinkToFit="1"/>
    </xf>
    <xf numFmtId="0" fontId="5" fillId="5" borderId="60" xfId="0" applyFont="1" applyFill="1" applyBorder="1" applyAlignment="1">
      <alignment horizontal="center" vertical="center" shrinkToFit="1"/>
    </xf>
    <xf numFmtId="0" fontId="5" fillId="5" borderId="62" xfId="0" applyFont="1" applyFill="1" applyBorder="1" applyAlignment="1">
      <alignment horizontal="center" vertical="center" shrinkToFit="1"/>
    </xf>
    <xf numFmtId="0" fontId="8" fillId="5" borderId="16" xfId="0" applyFont="1" applyFill="1" applyBorder="1" applyAlignment="1">
      <alignment horizontal="center" textRotation="90"/>
    </xf>
    <xf numFmtId="0" fontId="7" fillId="5" borderId="2" xfId="0" applyFont="1" applyFill="1" applyBorder="1" applyAlignment="1">
      <alignment textRotation="90"/>
    </xf>
    <xf numFmtId="0" fontId="7" fillId="5" borderId="12" xfId="0" applyFont="1" applyFill="1" applyBorder="1" applyAlignment="1">
      <alignment textRotation="90"/>
    </xf>
    <xf numFmtId="0" fontId="5" fillId="5" borderId="58" xfId="0" applyFont="1" applyFill="1" applyBorder="1" applyAlignment="1">
      <alignment horizontal="center" vertical="center" shrinkToFit="1"/>
    </xf>
    <xf numFmtId="0" fontId="5" fillId="5" borderId="53" xfId="0" applyFont="1" applyFill="1" applyBorder="1" applyAlignment="1">
      <alignment horizontal="center" vertical="center" shrinkToFit="1"/>
    </xf>
    <xf numFmtId="0" fontId="5" fillId="5" borderId="70" xfId="0" applyFont="1" applyFill="1" applyBorder="1" applyAlignment="1">
      <alignment horizontal="center" vertical="center" shrinkToFit="1"/>
    </xf>
    <xf numFmtId="0" fontId="5" fillId="5" borderId="0" xfId="0" applyFont="1" applyFill="1" applyAlignment="1">
      <alignment horizontal="center" vertical="center" shrinkToFit="1"/>
    </xf>
    <xf numFmtId="0" fontId="5" fillId="5" borderId="59" xfId="0" applyFont="1" applyFill="1" applyBorder="1" applyAlignment="1">
      <alignment horizontal="center" vertical="center" shrinkToFit="1"/>
    </xf>
    <xf numFmtId="0" fontId="5" fillId="5" borderId="52" xfId="0" applyFont="1" applyFill="1" applyBorder="1" applyAlignment="1">
      <alignment horizontal="center" vertical="center" shrinkToFit="1"/>
    </xf>
    <xf numFmtId="3" fontId="9" fillId="5" borderId="58" xfId="0" applyNumberFormat="1" applyFont="1" applyFill="1" applyBorder="1" applyAlignment="1">
      <alignment horizontal="center" vertical="center" wrapText="1"/>
    </xf>
    <xf numFmtId="3" fontId="9" fillId="5" borderId="70" xfId="0" applyNumberFormat="1" applyFont="1" applyFill="1" applyBorder="1" applyAlignment="1">
      <alignment horizontal="center" vertical="center" wrapText="1"/>
    </xf>
    <xf numFmtId="3" fontId="9" fillId="5" borderId="59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vertical="center" shrinkToFit="1"/>
    </xf>
    <xf numFmtId="3" fontId="9" fillId="5" borderId="23" xfId="0" applyNumberFormat="1" applyFont="1" applyFill="1" applyBorder="1" applyAlignment="1">
      <alignment horizontal="center" vertical="center" wrapText="1"/>
    </xf>
    <xf numFmtId="3" fontId="9" fillId="5" borderId="4" xfId="0" applyNumberFormat="1" applyFont="1" applyFill="1" applyBorder="1" applyAlignment="1">
      <alignment horizontal="center" vertical="center" wrapText="1"/>
    </xf>
    <xf numFmtId="3" fontId="9" fillId="5" borderId="8" xfId="0" applyNumberFormat="1" applyFont="1" applyFill="1" applyBorder="1" applyAlignment="1">
      <alignment horizontal="center" vertical="center" wrapText="1"/>
    </xf>
    <xf numFmtId="3" fontId="9" fillId="5" borderId="54" xfId="0" applyNumberFormat="1" applyFont="1" applyFill="1" applyBorder="1" applyAlignment="1">
      <alignment horizontal="center" vertical="center" wrapText="1"/>
    </xf>
    <xf numFmtId="3" fontId="9" fillId="5" borderId="48" xfId="0" applyNumberFormat="1" applyFont="1" applyFill="1" applyBorder="1" applyAlignment="1">
      <alignment horizontal="center" vertical="center" wrapText="1"/>
    </xf>
    <xf numFmtId="3" fontId="9" fillId="5" borderId="28" xfId="0" applyNumberFormat="1" applyFont="1" applyFill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13" fillId="0" borderId="18" xfId="7" applyFont="1" applyBorder="1" applyAlignment="1">
      <alignment horizontal="left" vertical="center" wrapText="1"/>
    </xf>
    <xf numFmtId="0" fontId="13" fillId="0" borderId="38" xfId="7" applyFont="1" applyBorder="1" applyAlignment="1">
      <alignment horizontal="left" vertical="center" wrapText="1"/>
    </xf>
    <xf numFmtId="0" fontId="24" fillId="3" borderId="5" xfId="7" applyFont="1" applyFill="1" applyBorder="1" applyAlignment="1">
      <alignment vertical="center" shrinkToFit="1"/>
    </xf>
    <xf numFmtId="0" fontId="24" fillId="3" borderId="22" xfId="7" applyFont="1" applyFill="1" applyBorder="1" applyAlignment="1">
      <alignment vertical="center" shrinkToFit="1"/>
    </xf>
    <xf numFmtId="0" fontId="17" fillId="5" borderId="16" xfId="0" applyFont="1" applyFill="1" applyBorder="1" applyAlignment="1">
      <alignment horizontal="center" textRotation="90"/>
    </xf>
    <xf numFmtId="0" fontId="31" fillId="5" borderId="12" xfId="0" applyFont="1" applyFill="1" applyBorder="1" applyAlignment="1">
      <alignment textRotation="90"/>
    </xf>
    <xf numFmtId="0" fontId="5" fillId="5" borderId="55" xfId="0" applyFont="1" applyFill="1" applyBorder="1" applyAlignment="1">
      <alignment horizontal="center" vertical="center" shrinkToFit="1"/>
    </xf>
    <xf numFmtId="0" fontId="5" fillId="5" borderId="34" xfId="0" applyFont="1" applyFill="1" applyBorder="1" applyAlignment="1">
      <alignment horizontal="center" vertical="center" shrinkToFit="1"/>
    </xf>
    <xf numFmtId="3" fontId="9" fillId="5" borderId="53" xfId="0" applyNumberFormat="1" applyFont="1" applyFill="1" applyBorder="1" applyAlignment="1">
      <alignment horizontal="center" vertical="center" wrapText="1"/>
    </xf>
    <xf numFmtId="3" fontId="9" fillId="5" borderId="52" xfId="0" applyNumberFormat="1" applyFont="1" applyFill="1" applyBorder="1" applyAlignment="1">
      <alignment horizontal="center" vertical="center" wrapText="1"/>
    </xf>
    <xf numFmtId="0" fontId="6" fillId="0" borderId="5" xfId="7" applyFont="1" applyBorder="1" applyAlignment="1">
      <alignment vertical="center" shrinkToFit="1"/>
    </xf>
    <xf numFmtId="0" fontId="6" fillId="0" borderId="22" xfId="7" applyFont="1" applyBorder="1" applyAlignment="1">
      <alignment vertical="center" shrinkToFit="1"/>
    </xf>
    <xf numFmtId="0" fontId="5" fillId="5" borderId="60" xfId="0" applyFont="1" applyFill="1" applyBorder="1" applyAlignment="1">
      <alignment horizontal="center" vertical="center"/>
    </xf>
    <xf numFmtId="0" fontId="5" fillId="5" borderId="62" xfId="0" applyFont="1" applyFill="1" applyBorder="1" applyAlignment="1">
      <alignment horizontal="center" vertical="center"/>
    </xf>
    <xf numFmtId="0" fontId="5" fillId="5" borderId="61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5" fillId="5" borderId="36" xfId="0" applyFont="1" applyFill="1" applyBorder="1" applyAlignment="1">
      <alignment horizontal="center" vertical="center" wrapText="1" shrinkToFit="1"/>
    </xf>
    <xf numFmtId="0" fontId="5" fillId="5" borderId="24" xfId="0" applyFont="1" applyFill="1" applyBorder="1" applyAlignment="1">
      <alignment horizontal="center" vertical="center" wrapText="1" shrinkToFit="1"/>
    </xf>
    <xf numFmtId="0" fontId="5" fillId="5" borderId="54" xfId="0" applyFont="1" applyFill="1" applyBorder="1" applyAlignment="1">
      <alignment horizontal="center" vertical="center" wrapText="1" shrinkToFit="1"/>
    </xf>
    <xf numFmtId="0" fontId="5" fillId="5" borderId="28" xfId="0" applyFont="1" applyFill="1" applyBorder="1" applyAlignment="1">
      <alignment horizontal="center" vertical="center" wrapText="1" shrinkToFit="1"/>
    </xf>
    <xf numFmtId="0" fontId="5" fillId="4" borderId="42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3" fillId="0" borderId="5" xfId="7" applyFont="1" applyBorder="1" applyAlignment="1">
      <alignment vertical="center" wrapText="1"/>
    </xf>
    <xf numFmtId="0" fontId="13" fillId="0" borderId="22" xfId="7" applyFont="1" applyBorder="1" applyAlignment="1">
      <alignment vertical="center" wrapText="1"/>
    </xf>
    <xf numFmtId="0" fontId="5" fillId="3" borderId="68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 shrinkToFit="1"/>
    </xf>
    <xf numFmtId="0" fontId="5" fillId="4" borderId="0" xfId="0" applyFont="1" applyFill="1" applyAlignment="1">
      <alignment horizontal="center" vertical="center" shrinkToFit="1"/>
    </xf>
    <xf numFmtId="0" fontId="5" fillId="4" borderId="56" xfId="0" applyFont="1" applyFill="1" applyBorder="1" applyAlignment="1">
      <alignment horizontal="center" vertical="center" shrinkToFit="1"/>
    </xf>
    <xf numFmtId="0" fontId="15" fillId="0" borderId="68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30" fillId="0" borderId="5" xfId="7" applyFont="1" applyBorder="1" applyAlignment="1">
      <alignment vertical="center"/>
    </xf>
    <xf numFmtId="0" fontId="30" fillId="0" borderId="22" xfId="7" applyFont="1" applyBorder="1" applyAlignment="1">
      <alignment vertic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6" fontId="5" fillId="5" borderId="14" xfId="7" applyNumberFormat="1" applyFont="1" applyFill="1" applyBorder="1" applyAlignment="1">
      <alignment horizontal="center" vertical="center"/>
    </xf>
    <xf numFmtId="16" fontId="5" fillId="5" borderId="8" xfId="7" applyNumberFormat="1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16" fontId="5" fillId="5" borderId="60" xfId="7" applyNumberFormat="1" applyFont="1" applyFill="1" applyBorder="1" applyAlignment="1">
      <alignment horizontal="center" vertical="center"/>
    </xf>
    <xf numFmtId="16" fontId="5" fillId="5" borderId="62" xfId="7" applyNumberFormat="1" applyFont="1" applyFill="1" applyBorder="1" applyAlignment="1">
      <alignment horizontal="center" vertical="center"/>
    </xf>
    <xf numFmtId="16" fontId="5" fillId="5" borderId="63" xfId="7" applyNumberFormat="1" applyFont="1" applyFill="1" applyBorder="1" applyAlignment="1">
      <alignment horizontal="center" vertical="center"/>
    </xf>
  </cellXfs>
  <cellStyles count="9">
    <cellStyle name="Normál" xfId="0" builtinId="0"/>
    <cellStyle name="Normál 2" xfId="1" xr:uid="{00000000-0005-0000-0000-000001000000}"/>
    <cellStyle name="Normál 2 2" xfId="2" xr:uid="{00000000-0005-0000-0000-000002000000}"/>
    <cellStyle name="Normál 2 3" xfId="3" xr:uid="{00000000-0005-0000-0000-000003000000}"/>
    <cellStyle name="Normál 2 3 2" xfId="4" xr:uid="{00000000-0005-0000-0000-000004000000}"/>
    <cellStyle name="Normál 2 3_-1" xfId="5" xr:uid="{00000000-0005-0000-0000-000005000000}"/>
    <cellStyle name="Normál 3" xfId="6" xr:uid="{00000000-0005-0000-0000-000006000000}"/>
    <cellStyle name="Normál 3 2" xfId="8" xr:uid="{00000000-0005-0000-0000-000007000000}"/>
    <cellStyle name="Normál_09eloi" xfId="7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</sheetPr>
  <dimension ref="A1:T74"/>
  <sheetViews>
    <sheetView topLeftCell="A38" zoomScale="90" zoomScaleNormal="90" workbookViewId="0">
      <selection activeCell="O56" sqref="O56"/>
    </sheetView>
  </sheetViews>
  <sheetFormatPr defaultColWidth="9.140625" defaultRowHeight="12.75" x14ac:dyDescent="0.2"/>
  <cols>
    <col min="1" max="1" width="5.5703125" style="20" customWidth="1"/>
    <col min="2" max="2" width="4.28515625" style="20" customWidth="1"/>
    <col min="3" max="3" width="3.7109375" style="3" customWidth="1"/>
    <col min="4" max="4" width="49.85546875" style="3" customWidth="1"/>
    <col min="5" max="7" width="16.7109375" style="5" customWidth="1"/>
    <col min="8" max="8" width="6.5703125" style="16" customWidth="1"/>
    <col min="9" max="9" width="4.28515625" style="16" customWidth="1"/>
    <col min="10" max="10" width="3.7109375" style="16" customWidth="1"/>
    <col min="11" max="11" width="51" style="3" customWidth="1"/>
    <col min="12" max="13" width="16.7109375" style="3" customWidth="1"/>
    <col min="14" max="14" width="16.7109375" style="5" customWidth="1"/>
    <col min="15" max="15" width="9.140625" style="3"/>
    <col min="16" max="17" width="10.5703125" style="3" bestFit="1" customWidth="1"/>
    <col min="18" max="16384" width="9.140625" style="3"/>
  </cols>
  <sheetData>
    <row r="1" spans="1:20" ht="14.25" x14ac:dyDescent="0.2">
      <c r="K1" s="391" t="s">
        <v>210</v>
      </c>
      <c r="L1" s="391"/>
      <c r="M1" s="391"/>
      <c r="N1" s="391"/>
      <c r="P1" s="58"/>
      <c r="Q1" s="58"/>
      <c r="R1" s="58"/>
      <c r="S1" s="58"/>
      <c r="T1" s="58"/>
    </row>
    <row r="2" spans="1:20" ht="14.25" x14ac:dyDescent="0.2">
      <c r="K2" s="391" t="s">
        <v>211</v>
      </c>
      <c r="L2" s="391"/>
      <c r="M2" s="391"/>
      <c r="N2" s="391"/>
      <c r="O2" s="58"/>
      <c r="P2" s="58"/>
      <c r="Q2" s="58"/>
      <c r="R2" s="58"/>
      <c r="S2" s="58"/>
      <c r="T2" s="58"/>
    </row>
    <row r="3" spans="1:20" ht="14.25" x14ac:dyDescent="0.2">
      <c r="K3" s="61"/>
      <c r="L3" s="61"/>
      <c r="M3" s="61"/>
      <c r="N3" s="61"/>
      <c r="O3" s="58"/>
      <c r="P3" s="58"/>
      <c r="Q3" s="58"/>
      <c r="R3" s="58"/>
      <c r="S3" s="58"/>
      <c r="T3" s="58"/>
    </row>
    <row r="4" spans="1:20" ht="15.95" customHeight="1" x14ac:dyDescent="0.25">
      <c r="A4" s="382" t="s">
        <v>220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" t="s">
        <v>40</v>
      </c>
    </row>
    <row r="5" spans="1:20" ht="15.95" customHeight="1" x14ac:dyDescent="0.25">
      <c r="A5" s="382" t="s">
        <v>153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</row>
    <row r="6" spans="1:20" ht="15.95" customHeight="1" x14ac:dyDescent="0.25">
      <c r="A6" s="382" t="s">
        <v>51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</row>
    <row r="7" spans="1:20" ht="15.95" customHeight="1" x14ac:dyDescent="0.25">
      <c r="A7" s="382" t="s">
        <v>221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</row>
    <row r="8" spans="1:20" ht="15.95" customHeight="1" x14ac:dyDescent="0.25">
      <c r="A8" s="382" t="s">
        <v>222</v>
      </c>
      <c r="B8" s="382"/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</row>
    <row r="9" spans="1:20" ht="15.95" customHeight="1" thickBot="1" x14ac:dyDescent="0.35">
      <c r="D9" s="383"/>
      <c r="E9" s="383"/>
      <c r="F9" s="383"/>
      <c r="G9" s="383"/>
      <c r="H9" s="383"/>
      <c r="I9" s="383"/>
      <c r="J9" s="383"/>
      <c r="K9" s="383"/>
      <c r="L9" s="60"/>
      <c r="M9" s="60"/>
      <c r="N9" s="14" t="s">
        <v>183</v>
      </c>
    </row>
    <row r="10" spans="1:20" s="6" customFormat="1" ht="21.95" customHeight="1" x14ac:dyDescent="0.2">
      <c r="A10" s="384" t="s">
        <v>49</v>
      </c>
      <c r="B10" s="385"/>
      <c r="C10" s="385"/>
      <c r="D10" s="385"/>
      <c r="E10" s="385"/>
      <c r="F10" s="140"/>
      <c r="G10" s="140"/>
      <c r="H10" s="384" t="s">
        <v>50</v>
      </c>
      <c r="I10" s="385"/>
      <c r="J10" s="385"/>
      <c r="K10" s="385"/>
      <c r="L10" s="385"/>
      <c r="M10" s="385"/>
      <c r="N10" s="386"/>
    </row>
    <row r="11" spans="1:20" s="6" customFormat="1" ht="41.25" customHeight="1" thickBot="1" x14ac:dyDescent="0.25">
      <c r="A11" s="141" t="s">
        <v>91</v>
      </c>
      <c r="B11" s="142" t="s">
        <v>92</v>
      </c>
      <c r="C11" s="387"/>
      <c r="D11" s="388"/>
      <c r="E11" s="143" t="s">
        <v>39</v>
      </c>
      <c r="F11" s="144" t="s">
        <v>151</v>
      </c>
      <c r="G11" s="144" t="s">
        <v>152</v>
      </c>
      <c r="H11" s="141" t="s">
        <v>91</v>
      </c>
      <c r="I11" s="142" t="s">
        <v>92</v>
      </c>
      <c r="J11" s="389"/>
      <c r="K11" s="390"/>
      <c r="L11" s="143" t="s">
        <v>39</v>
      </c>
      <c r="M11" s="144" t="s">
        <v>151</v>
      </c>
      <c r="N11" s="145" t="s">
        <v>152</v>
      </c>
    </row>
    <row r="12" spans="1:20" s="1" customFormat="1" ht="18" customHeight="1" x14ac:dyDescent="0.2">
      <c r="A12" s="351" t="s">
        <v>48</v>
      </c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3"/>
    </row>
    <row r="13" spans="1:20" s="2" customFormat="1" ht="18" customHeight="1" x14ac:dyDescent="0.2">
      <c r="A13" s="21" t="s">
        <v>0</v>
      </c>
      <c r="B13" s="354" t="s">
        <v>47</v>
      </c>
      <c r="C13" s="355"/>
      <c r="D13" s="356"/>
      <c r="E13" s="146">
        <f>E14+E18+E22+E26</f>
        <v>955839380</v>
      </c>
      <c r="F13" s="146">
        <f t="shared" ref="F13:G13" si="0">F14+F18+F22+F26</f>
        <v>31270308</v>
      </c>
      <c r="G13" s="146">
        <f t="shared" si="0"/>
        <v>987109688</v>
      </c>
      <c r="H13" s="46" t="s">
        <v>0</v>
      </c>
      <c r="I13" s="379" t="s">
        <v>21</v>
      </c>
      <c r="J13" s="380"/>
      <c r="K13" s="381"/>
      <c r="L13" s="151">
        <f>L14+L18+L22+L30+L26</f>
        <v>1337219706</v>
      </c>
      <c r="M13" s="151">
        <f t="shared" ref="M13:N13" si="1">M14+M18+M22+M30+M26</f>
        <v>169608112</v>
      </c>
      <c r="N13" s="153">
        <f t="shared" si="1"/>
        <v>1506827818</v>
      </c>
    </row>
    <row r="14" spans="1:20" s="1" customFormat="1" ht="18" customHeight="1" x14ac:dyDescent="0.2">
      <c r="A14" s="22"/>
      <c r="B14" s="340" t="s">
        <v>63</v>
      </c>
      <c r="C14" s="343" t="s">
        <v>54</v>
      </c>
      <c r="D14" s="344"/>
      <c r="E14" s="146">
        <f>E15+E16+E17</f>
        <v>856618347</v>
      </c>
      <c r="F14" s="146">
        <f t="shared" ref="F14:G14" si="2">F15+F16+F17</f>
        <v>318660</v>
      </c>
      <c r="G14" s="146">
        <f t="shared" si="2"/>
        <v>856937007</v>
      </c>
      <c r="H14" s="18"/>
      <c r="I14" s="345" t="s">
        <v>58</v>
      </c>
      <c r="J14" s="363" t="s">
        <v>17</v>
      </c>
      <c r="K14" s="363"/>
      <c r="L14" s="146">
        <f>L15+L16+L17</f>
        <v>427976060</v>
      </c>
      <c r="M14" s="146">
        <f t="shared" ref="M14:N14" si="3">M15+M16+M17</f>
        <v>65157621</v>
      </c>
      <c r="N14" s="154">
        <f t="shared" si="3"/>
        <v>493133681</v>
      </c>
    </row>
    <row r="15" spans="1:20" s="1" customFormat="1" ht="18" customHeight="1" x14ac:dyDescent="0.2">
      <c r="A15" s="22"/>
      <c r="B15" s="341"/>
      <c r="C15" s="24" t="s">
        <v>1</v>
      </c>
      <c r="D15" s="25" t="s">
        <v>10</v>
      </c>
      <c r="E15" s="148">
        <f>+'2.'!E15+'3.'!E15</f>
        <v>856618347</v>
      </c>
      <c r="F15" s="148">
        <f>+'2.'!F15+'3.'!F15</f>
        <v>318660</v>
      </c>
      <c r="G15" s="150">
        <f>+F15+E15</f>
        <v>856937007</v>
      </c>
      <c r="H15" s="18"/>
      <c r="I15" s="346"/>
      <c r="J15" s="24" t="s">
        <v>1</v>
      </c>
      <c r="K15" s="25" t="s">
        <v>10</v>
      </c>
      <c r="L15" s="148">
        <f>+'2.'!L15+'3.'!L15</f>
        <v>427876060</v>
      </c>
      <c r="M15" s="148">
        <f>+'2.'!M15+'3.'!M15</f>
        <v>65157621</v>
      </c>
      <c r="N15" s="150">
        <f>+M15+L15</f>
        <v>493033681</v>
      </c>
    </row>
    <row r="16" spans="1:20" s="1" customFormat="1" ht="18" customHeight="1" x14ac:dyDescent="0.2">
      <c r="A16" s="22"/>
      <c r="B16" s="341"/>
      <c r="C16" s="24" t="s">
        <v>2</v>
      </c>
      <c r="D16" s="25" t="s">
        <v>13</v>
      </c>
      <c r="E16" s="148">
        <f>+'2.'!E16+'3.'!E16</f>
        <v>0</v>
      </c>
      <c r="F16" s="148">
        <f>+'2.'!F16+'3.'!F16</f>
        <v>0</v>
      </c>
      <c r="G16" s="150">
        <f t="shared" ref="G16:G25" si="4">+F16+E16</f>
        <v>0</v>
      </c>
      <c r="H16" s="18"/>
      <c r="I16" s="346"/>
      <c r="J16" s="24" t="s">
        <v>2</v>
      </c>
      <c r="K16" s="25" t="s">
        <v>13</v>
      </c>
      <c r="L16" s="148">
        <f>+'2.'!L16+'3.'!L16</f>
        <v>100000</v>
      </c>
      <c r="M16" s="148">
        <f>+'2.'!M16+'3.'!M16</f>
        <v>0</v>
      </c>
      <c r="N16" s="150">
        <f t="shared" ref="N16:N17" si="5">+M16+L16</f>
        <v>100000</v>
      </c>
    </row>
    <row r="17" spans="1:16" s="1" customFormat="1" ht="18" customHeight="1" x14ac:dyDescent="0.2">
      <c r="A17" s="22"/>
      <c r="B17" s="342"/>
      <c r="C17" s="24" t="s">
        <v>4</v>
      </c>
      <c r="D17" s="25" t="s">
        <v>12</v>
      </c>
      <c r="E17" s="148">
        <f>+'2.'!E17+'3.'!E17</f>
        <v>0</v>
      </c>
      <c r="F17" s="148">
        <f>+'2.'!F17+'3.'!F17</f>
        <v>0</v>
      </c>
      <c r="G17" s="150">
        <f t="shared" si="4"/>
        <v>0</v>
      </c>
      <c r="H17" s="18"/>
      <c r="I17" s="347"/>
      <c r="J17" s="24" t="s">
        <v>4</v>
      </c>
      <c r="K17" s="25" t="s">
        <v>12</v>
      </c>
      <c r="L17" s="148">
        <f>+'2.'!L17+'3.'!L17</f>
        <v>0</v>
      </c>
      <c r="M17" s="148">
        <f>+'2.'!M17+'3.'!M17</f>
        <v>0</v>
      </c>
      <c r="N17" s="150">
        <f t="shared" si="5"/>
        <v>0</v>
      </c>
    </row>
    <row r="18" spans="1:16" s="1" customFormat="1" ht="18" customHeight="1" x14ac:dyDescent="0.2">
      <c r="A18" s="22"/>
      <c r="B18" s="340" t="s">
        <v>76</v>
      </c>
      <c r="C18" s="343" t="s">
        <v>6</v>
      </c>
      <c r="D18" s="344"/>
      <c r="E18" s="146">
        <f>E19+E20+E21</f>
        <v>0</v>
      </c>
      <c r="F18" s="146">
        <f>F19+F20+F21</f>
        <v>0</v>
      </c>
      <c r="G18" s="146">
        <f t="shared" ref="G18" si="6">G19+G20+G21</f>
        <v>0</v>
      </c>
      <c r="H18" s="18"/>
      <c r="I18" s="345" t="s">
        <v>59</v>
      </c>
      <c r="J18" s="350" t="s">
        <v>20</v>
      </c>
      <c r="K18" s="350"/>
      <c r="L18" s="146">
        <f>L19+L20+L21</f>
        <v>61172121</v>
      </c>
      <c r="M18" s="146">
        <f>M19+M20+M21</f>
        <v>3941637</v>
      </c>
      <c r="N18" s="154">
        <f>N19+N20+N21</f>
        <v>65113758</v>
      </c>
    </row>
    <row r="19" spans="1:16" s="1" customFormat="1" ht="18" customHeight="1" x14ac:dyDescent="0.2">
      <c r="A19" s="22"/>
      <c r="B19" s="341"/>
      <c r="C19" s="24" t="s">
        <v>1</v>
      </c>
      <c r="D19" s="25" t="s">
        <v>10</v>
      </c>
      <c r="E19" s="148">
        <f>+'2.'!E19+'3.'!E19</f>
        <v>0</v>
      </c>
      <c r="F19" s="149">
        <f>'2.'!F19+'3.'!F19</f>
        <v>0</v>
      </c>
      <c r="G19" s="150">
        <f>+F19+E19</f>
        <v>0</v>
      </c>
      <c r="H19" s="18"/>
      <c r="I19" s="346"/>
      <c r="J19" s="24" t="s">
        <v>1</v>
      </c>
      <c r="K19" s="25" t="s">
        <v>10</v>
      </c>
      <c r="L19" s="148">
        <f>+'2.'!L19+'3.'!L19</f>
        <v>61159121</v>
      </c>
      <c r="M19" s="148">
        <f>+'2.'!M19+'3.'!M19</f>
        <v>3941637</v>
      </c>
      <c r="N19" s="150">
        <f>+M19+L19</f>
        <v>65100758</v>
      </c>
    </row>
    <row r="20" spans="1:16" s="1" customFormat="1" ht="18" customHeight="1" x14ac:dyDescent="0.2">
      <c r="A20" s="22"/>
      <c r="B20" s="341"/>
      <c r="C20" s="24" t="s">
        <v>2</v>
      </c>
      <c r="D20" s="25" t="s">
        <v>13</v>
      </c>
      <c r="E20" s="148">
        <f>+'2.'!E20+'3.'!E20</f>
        <v>0</v>
      </c>
      <c r="F20" s="149">
        <f>'2.'!F20+'3.'!F20</f>
        <v>0</v>
      </c>
      <c r="G20" s="150">
        <f t="shared" si="4"/>
        <v>0</v>
      </c>
      <c r="H20" s="18"/>
      <c r="I20" s="346"/>
      <c r="J20" s="24" t="s">
        <v>2</v>
      </c>
      <c r="K20" s="25" t="s">
        <v>13</v>
      </c>
      <c r="L20" s="148">
        <f>+'2.'!L20+'3.'!L20</f>
        <v>13000</v>
      </c>
      <c r="M20" s="148">
        <f>+'2.'!M20+'3.'!M20</f>
        <v>0</v>
      </c>
      <c r="N20" s="150">
        <f t="shared" ref="N20:N21" si="7">+M20+L20</f>
        <v>13000</v>
      </c>
    </row>
    <row r="21" spans="1:16" s="1" customFormat="1" ht="18" customHeight="1" x14ac:dyDescent="0.2">
      <c r="A21" s="22"/>
      <c r="B21" s="342"/>
      <c r="C21" s="24" t="s">
        <v>4</v>
      </c>
      <c r="D21" s="25" t="s">
        <v>12</v>
      </c>
      <c r="E21" s="148">
        <f>+'2.'!E21+'3.'!E21</f>
        <v>0</v>
      </c>
      <c r="F21" s="149">
        <f>'2.'!F21+'3.'!F21</f>
        <v>0</v>
      </c>
      <c r="G21" s="150">
        <f t="shared" si="4"/>
        <v>0</v>
      </c>
      <c r="H21" s="18"/>
      <c r="I21" s="347"/>
      <c r="J21" s="24" t="s">
        <v>4</v>
      </c>
      <c r="K21" s="25" t="s">
        <v>12</v>
      </c>
      <c r="L21" s="148">
        <f>+'2.'!L21+'3.'!L21</f>
        <v>0</v>
      </c>
      <c r="M21" s="148">
        <f>+'2.'!M21+'3.'!M21</f>
        <v>0</v>
      </c>
      <c r="N21" s="150">
        <f t="shared" si="7"/>
        <v>0</v>
      </c>
    </row>
    <row r="22" spans="1:16" s="1" customFormat="1" ht="18" customHeight="1" x14ac:dyDescent="0.2">
      <c r="A22" s="22"/>
      <c r="B22" s="340" t="s">
        <v>77</v>
      </c>
      <c r="C22" s="343" t="s">
        <v>38</v>
      </c>
      <c r="D22" s="344"/>
      <c r="E22" s="146">
        <f>E23+E24+E25</f>
        <v>720000</v>
      </c>
      <c r="F22" s="146">
        <f t="shared" ref="F22:G22" si="8">F23+F24+F25</f>
        <v>0</v>
      </c>
      <c r="G22" s="146">
        <f t="shared" si="8"/>
        <v>720000</v>
      </c>
      <c r="H22" s="18"/>
      <c r="I22" s="345" t="s">
        <v>60</v>
      </c>
      <c r="J22" s="350" t="s">
        <v>35</v>
      </c>
      <c r="K22" s="350"/>
      <c r="L22" s="146">
        <f>L23+L24+L25</f>
        <v>731091589</v>
      </c>
      <c r="M22" s="146">
        <f>M23+M24+M25</f>
        <v>-24148965</v>
      </c>
      <c r="N22" s="154">
        <f t="shared" ref="N22" si="9">N23+N24+N25</f>
        <v>706942624</v>
      </c>
    </row>
    <row r="23" spans="1:16" s="1" customFormat="1" ht="18" customHeight="1" x14ac:dyDescent="0.2">
      <c r="A23" s="22"/>
      <c r="B23" s="341"/>
      <c r="C23" s="24" t="s">
        <v>1</v>
      </c>
      <c r="D23" s="25" t="s">
        <v>10</v>
      </c>
      <c r="E23" s="148">
        <f>+'2.'!E23+'3.'!E23</f>
        <v>720000</v>
      </c>
      <c r="F23" s="148">
        <f>+'2.'!F23+'3.'!F23</f>
        <v>0</v>
      </c>
      <c r="G23" s="150">
        <f t="shared" si="4"/>
        <v>720000</v>
      </c>
      <c r="H23" s="18"/>
      <c r="I23" s="346"/>
      <c r="J23" s="24" t="s">
        <v>1</v>
      </c>
      <c r="K23" s="25" t="s">
        <v>10</v>
      </c>
      <c r="L23" s="148">
        <f>+'2.'!L23+'3.'!L23</f>
        <v>729937089</v>
      </c>
      <c r="M23" s="148">
        <f>+'2.'!M23+'3.'!M23</f>
        <v>-24148965</v>
      </c>
      <c r="N23" s="150">
        <f>+M23+L23</f>
        <v>705788124</v>
      </c>
    </row>
    <row r="24" spans="1:16" s="1" customFormat="1" ht="18" customHeight="1" x14ac:dyDescent="0.2">
      <c r="A24" s="22"/>
      <c r="B24" s="341"/>
      <c r="C24" s="24" t="s">
        <v>2</v>
      </c>
      <c r="D24" s="25" t="s">
        <v>13</v>
      </c>
      <c r="E24" s="148">
        <f>+'2.'!E24+'3.'!E24</f>
        <v>0</v>
      </c>
      <c r="F24" s="148">
        <f>+'2.'!F24+'3.'!F24</f>
        <v>0</v>
      </c>
      <c r="G24" s="150">
        <f t="shared" si="4"/>
        <v>0</v>
      </c>
      <c r="H24" s="18"/>
      <c r="I24" s="346"/>
      <c r="J24" s="24" t="s">
        <v>2</v>
      </c>
      <c r="K24" s="25" t="s">
        <v>13</v>
      </c>
      <c r="L24" s="148">
        <f>+'2.'!L24+'3.'!L24</f>
        <v>1154500</v>
      </c>
      <c r="M24" s="148">
        <f>+'2.'!M24+'3.'!M24</f>
        <v>0</v>
      </c>
      <c r="N24" s="150">
        <f t="shared" ref="N24:N35" si="10">+M24+L24</f>
        <v>1154500</v>
      </c>
    </row>
    <row r="25" spans="1:16" s="1" customFormat="1" ht="18" customHeight="1" x14ac:dyDescent="0.2">
      <c r="A25" s="22"/>
      <c r="B25" s="342"/>
      <c r="C25" s="24" t="s">
        <v>4</v>
      </c>
      <c r="D25" s="25" t="s">
        <v>12</v>
      </c>
      <c r="E25" s="148">
        <f>+'2.'!E25+'3.'!E25</f>
        <v>0</v>
      </c>
      <c r="F25" s="148">
        <f>+'2.'!F25+'3.'!F25</f>
        <v>0</v>
      </c>
      <c r="G25" s="150">
        <f t="shared" si="4"/>
        <v>0</v>
      </c>
      <c r="H25" s="18"/>
      <c r="I25" s="347"/>
      <c r="J25" s="24" t="s">
        <v>4</v>
      </c>
      <c r="K25" s="25" t="s">
        <v>12</v>
      </c>
      <c r="L25" s="148">
        <f>+'2.'!L25+'3.'!L25</f>
        <v>0</v>
      </c>
      <c r="M25" s="148">
        <f>+'2.'!M25+'3.'!M25</f>
        <v>0</v>
      </c>
      <c r="N25" s="150">
        <f t="shared" si="10"/>
        <v>0</v>
      </c>
    </row>
    <row r="26" spans="1:16" s="1" customFormat="1" ht="18" customHeight="1" x14ac:dyDescent="0.2">
      <c r="A26" s="22"/>
      <c r="B26" s="340" t="s">
        <v>79</v>
      </c>
      <c r="C26" s="348" t="s">
        <v>53</v>
      </c>
      <c r="D26" s="349"/>
      <c r="E26" s="146">
        <f>E27+E28+E29</f>
        <v>98501033</v>
      </c>
      <c r="F26" s="146">
        <f t="shared" ref="F26:G26" si="11">F27+F28+F29</f>
        <v>30951648</v>
      </c>
      <c r="G26" s="146">
        <f t="shared" si="11"/>
        <v>129452681</v>
      </c>
      <c r="H26" s="18"/>
      <c r="I26" s="345" t="s">
        <v>61</v>
      </c>
      <c r="J26" s="363" t="s">
        <v>8</v>
      </c>
      <c r="K26" s="363"/>
      <c r="L26" s="146">
        <f>L27+L28+L29</f>
        <v>0</v>
      </c>
      <c r="M26" s="146">
        <f>M27+M28+M29</f>
        <v>0</v>
      </c>
      <c r="N26" s="154">
        <f t="shared" ref="N26" si="12">N27+N28+N29</f>
        <v>0</v>
      </c>
    </row>
    <row r="27" spans="1:16" s="1" customFormat="1" ht="18" customHeight="1" x14ac:dyDescent="0.2">
      <c r="A27" s="22"/>
      <c r="B27" s="341"/>
      <c r="C27" s="24" t="s">
        <v>1</v>
      </c>
      <c r="D27" s="25" t="s">
        <v>10</v>
      </c>
      <c r="E27" s="148">
        <f>'2.'!E27+'3.'!E27</f>
        <v>98501033</v>
      </c>
      <c r="F27" s="148">
        <f>'2.'!F27+'3.'!F27</f>
        <v>30951648</v>
      </c>
      <c r="G27" s="150">
        <f>+F27+E27</f>
        <v>129452681</v>
      </c>
      <c r="H27" s="18"/>
      <c r="I27" s="346"/>
      <c r="J27" s="24" t="s">
        <v>1</v>
      </c>
      <c r="K27" s="25" t="s">
        <v>10</v>
      </c>
      <c r="L27" s="148">
        <f>+'2.'!L27+'3.'!L27</f>
        <v>0</v>
      </c>
      <c r="M27" s="148">
        <f>+'2.'!M27+'3.'!M27</f>
        <v>0</v>
      </c>
      <c r="N27" s="150">
        <f t="shared" si="10"/>
        <v>0</v>
      </c>
    </row>
    <row r="28" spans="1:16" s="1" customFormat="1" ht="18" customHeight="1" x14ac:dyDescent="0.2">
      <c r="A28" s="22"/>
      <c r="B28" s="341"/>
      <c r="C28" s="24" t="s">
        <v>2</v>
      </c>
      <c r="D28" s="25" t="s">
        <v>13</v>
      </c>
      <c r="E28" s="148">
        <f>+'2.'!E28+'3.'!E28</f>
        <v>0</v>
      </c>
      <c r="F28" s="148">
        <f>'2.'!F28+'3.'!F28</f>
        <v>0</v>
      </c>
      <c r="G28" s="150">
        <f t="shared" ref="G28:G29" si="13">+F28+E28</f>
        <v>0</v>
      </c>
      <c r="H28" s="18"/>
      <c r="I28" s="346"/>
      <c r="J28" s="24" t="s">
        <v>2</v>
      </c>
      <c r="K28" s="25" t="s">
        <v>13</v>
      </c>
      <c r="L28" s="148">
        <f>+'2.'!L28+'3.'!L28</f>
        <v>0</v>
      </c>
      <c r="M28" s="148">
        <f>+'2.'!M28+'3.'!M28</f>
        <v>0</v>
      </c>
      <c r="N28" s="150">
        <f t="shared" si="10"/>
        <v>0</v>
      </c>
    </row>
    <row r="29" spans="1:16" s="1" customFormat="1" ht="18" customHeight="1" x14ac:dyDescent="0.2">
      <c r="A29" s="23"/>
      <c r="B29" s="342"/>
      <c r="C29" s="24" t="s">
        <v>4</v>
      </c>
      <c r="D29" s="25" t="s">
        <v>12</v>
      </c>
      <c r="E29" s="148">
        <f>+'2.'!E29+'3.'!E29</f>
        <v>0</v>
      </c>
      <c r="F29" s="148">
        <f>'2.'!F29+'3.'!F29</f>
        <v>0</v>
      </c>
      <c r="G29" s="150">
        <f t="shared" si="13"/>
        <v>0</v>
      </c>
      <c r="H29" s="18"/>
      <c r="I29" s="347"/>
      <c r="J29" s="24" t="s">
        <v>4</v>
      </c>
      <c r="K29" s="25" t="s">
        <v>12</v>
      </c>
      <c r="L29" s="148">
        <f>+'2.'!L29+'3.'!L29</f>
        <v>0</v>
      </c>
      <c r="M29" s="148">
        <f>+'2.'!M29+'3.'!M29</f>
        <v>0</v>
      </c>
      <c r="N29" s="150">
        <f t="shared" si="10"/>
        <v>0</v>
      </c>
    </row>
    <row r="30" spans="1:16" s="1" customFormat="1" ht="18" customHeight="1" x14ac:dyDescent="0.2">
      <c r="A30" s="364"/>
      <c r="B30" s="365"/>
      <c r="C30" s="365"/>
      <c r="D30" s="365"/>
      <c r="E30" s="365"/>
      <c r="F30" s="365"/>
      <c r="G30" s="366"/>
      <c r="H30" s="18"/>
      <c r="I30" s="345" t="s">
        <v>62</v>
      </c>
      <c r="J30" s="350" t="s">
        <v>14</v>
      </c>
      <c r="K30" s="350"/>
      <c r="L30" s="146">
        <f>L31+L34+L35</f>
        <v>116979936</v>
      </c>
      <c r="M30" s="146">
        <f>M31+M34+M35</f>
        <v>124657819</v>
      </c>
      <c r="N30" s="154">
        <f t="shared" ref="N30" si="14">N31+N34+N35</f>
        <v>241637755</v>
      </c>
    </row>
    <row r="31" spans="1:16" s="1" customFormat="1" ht="18" customHeight="1" x14ac:dyDescent="0.2">
      <c r="A31" s="367"/>
      <c r="B31" s="368"/>
      <c r="C31" s="368"/>
      <c r="D31" s="368"/>
      <c r="E31" s="368"/>
      <c r="F31" s="368"/>
      <c r="G31" s="369"/>
      <c r="H31" s="18"/>
      <c r="I31" s="346"/>
      <c r="J31" s="24" t="s">
        <v>1</v>
      </c>
      <c r="K31" s="25" t="s">
        <v>10</v>
      </c>
      <c r="L31" s="148">
        <f>+'2.'!L31+'3.'!L31</f>
        <v>112979936</v>
      </c>
      <c r="M31" s="148">
        <f>+'2.'!M31+'3.'!M31</f>
        <v>122557819</v>
      </c>
      <c r="N31" s="150">
        <f t="shared" si="10"/>
        <v>235537755</v>
      </c>
    </row>
    <row r="32" spans="1:16" s="1" customFormat="1" ht="18" customHeight="1" x14ac:dyDescent="0.2">
      <c r="A32" s="367"/>
      <c r="B32" s="368"/>
      <c r="C32" s="368"/>
      <c r="D32" s="368"/>
      <c r="E32" s="368"/>
      <c r="F32" s="368"/>
      <c r="G32" s="369"/>
      <c r="H32" s="18"/>
      <c r="I32" s="346"/>
      <c r="J32" s="41" t="s">
        <v>94</v>
      </c>
      <c r="K32" s="42" t="s">
        <v>96</v>
      </c>
      <c r="L32" s="156">
        <f>+'2.'!L32+'3.'!L32</f>
        <v>2000000</v>
      </c>
      <c r="M32" s="156">
        <f>+'2.'!M32+'3.'!M32</f>
        <v>49879945</v>
      </c>
      <c r="N32" s="197">
        <f t="shared" si="10"/>
        <v>51879945</v>
      </c>
      <c r="O32" s="50"/>
      <c r="P32" s="50"/>
    </row>
    <row r="33" spans="1:14" s="1" customFormat="1" ht="18" customHeight="1" x14ac:dyDescent="0.2">
      <c r="A33" s="367"/>
      <c r="B33" s="368"/>
      <c r="C33" s="368"/>
      <c r="D33" s="368"/>
      <c r="E33" s="368"/>
      <c r="F33" s="368"/>
      <c r="G33" s="369"/>
      <c r="H33" s="18"/>
      <c r="I33" s="346"/>
      <c r="J33" s="41" t="s">
        <v>95</v>
      </c>
      <c r="K33" s="42" t="s">
        <v>97</v>
      </c>
      <c r="L33" s="156">
        <f>+'2.'!L33+'3.'!L33</f>
        <v>30000000</v>
      </c>
      <c r="M33" s="156">
        <f>+'2.'!M33+'3.'!M33</f>
        <v>72500000</v>
      </c>
      <c r="N33" s="197">
        <f t="shared" si="10"/>
        <v>102500000</v>
      </c>
    </row>
    <row r="34" spans="1:14" s="1" customFormat="1" ht="18" customHeight="1" x14ac:dyDescent="0.2">
      <c r="A34" s="367"/>
      <c r="B34" s="368"/>
      <c r="C34" s="368"/>
      <c r="D34" s="368"/>
      <c r="E34" s="368"/>
      <c r="F34" s="368"/>
      <c r="G34" s="369"/>
      <c r="H34" s="18"/>
      <c r="I34" s="346"/>
      <c r="J34" s="24" t="s">
        <v>2</v>
      </c>
      <c r="K34" s="25" t="s">
        <v>13</v>
      </c>
      <c r="L34" s="148">
        <f>+'2.'!L34+'3.'!L34</f>
        <v>4000000</v>
      </c>
      <c r="M34" s="148">
        <f>+'2.'!M34+'3.'!M34</f>
        <v>2100000</v>
      </c>
      <c r="N34" s="150">
        <f t="shared" si="10"/>
        <v>6100000</v>
      </c>
    </row>
    <row r="35" spans="1:14" s="1" customFormat="1" ht="18" customHeight="1" x14ac:dyDescent="0.2">
      <c r="A35" s="370"/>
      <c r="B35" s="371"/>
      <c r="C35" s="371"/>
      <c r="D35" s="371"/>
      <c r="E35" s="371"/>
      <c r="F35" s="371"/>
      <c r="G35" s="372"/>
      <c r="H35" s="17"/>
      <c r="I35" s="347"/>
      <c r="J35" s="24" t="s">
        <v>4</v>
      </c>
      <c r="K35" s="25" t="s">
        <v>12</v>
      </c>
      <c r="L35" s="148">
        <f>+'2.'!L35+'3.'!L35</f>
        <v>0</v>
      </c>
      <c r="M35" s="148">
        <f>+'2.'!M35+'3.'!M35</f>
        <v>0</v>
      </c>
      <c r="N35" s="150">
        <f t="shared" si="10"/>
        <v>0</v>
      </c>
    </row>
    <row r="36" spans="1:14" s="1" customFormat="1" ht="18" customHeight="1" x14ac:dyDescent="0.2">
      <c r="A36" s="43" t="s">
        <v>0</v>
      </c>
      <c r="B36" s="329" t="s">
        <v>23</v>
      </c>
      <c r="C36" s="330"/>
      <c r="D36" s="331"/>
      <c r="E36" s="165">
        <f>+E37+E38+E39</f>
        <v>955839380</v>
      </c>
      <c r="F36" s="165">
        <f t="shared" ref="F36:G36" si="15">+F37+F38+F39</f>
        <v>31270308</v>
      </c>
      <c r="G36" s="165">
        <f t="shared" si="15"/>
        <v>987109688</v>
      </c>
      <c r="H36" s="44" t="s">
        <v>0</v>
      </c>
      <c r="I36" s="373" t="s">
        <v>18</v>
      </c>
      <c r="J36" s="374"/>
      <c r="K36" s="374"/>
      <c r="L36" s="159">
        <f>+L37+L38+L39</f>
        <v>1337219706</v>
      </c>
      <c r="M36" s="159">
        <f t="shared" ref="M36:N36" si="16">+M37+M38+M39</f>
        <v>169608112</v>
      </c>
      <c r="N36" s="160">
        <f t="shared" si="16"/>
        <v>1506827818</v>
      </c>
    </row>
    <row r="37" spans="1:14" s="1" customFormat="1" ht="18" customHeight="1" x14ac:dyDescent="0.2">
      <c r="A37" s="30"/>
      <c r="B37" s="375" t="s">
        <v>82</v>
      </c>
      <c r="C37" s="31" t="s">
        <v>1</v>
      </c>
      <c r="D37" s="32" t="s">
        <v>10</v>
      </c>
      <c r="E37" s="161">
        <f t="shared" ref="E37:G39" si="17">+E27+E23+E19+E15</f>
        <v>955839380</v>
      </c>
      <c r="F37" s="161">
        <f t="shared" si="17"/>
        <v>31270308</v>
      </c>
      <c r="G37" s="161">
        <f t="shared" si="17"/>
        <v>987109688</v>
      </c>
      <c r="H37" s="337"/>
      <c r="I37" s="378" t="s">
        <v>81</v>
      </c>
      <c r="J37" s="31" t="s">
        <v>1</v>
      </c>
      <c r="K37" s="32" t="s">
        <v>10</v>
      </c>
      <c r="L37" s="161">
        <f>+L31+L27+L23+L19+L15</f>
        <v>1331952206</v>
      </c>
      <c r="M37" s="161">
        <f t="shared" ref="M37:N37" si="18">+M31+M27+M23+M19+M15</f>
        <v>167508112</v>
      </c>
      <c r="N37" s="162">
        <f t="shared" si="18"/>
        <v>1499460318</v>
      </c>
    </row>
    <row r="38" spans="1:14" s="1" customFormat="1" ht="18" customHeight="1" x14ac:dyDescent="0.2">
      <c r="A38" s="30"/>
      <c r="B38" s="376"/>
      <c r="C38" s="31" t="s">
        <v>2</v>
      </c>
      <c r="D38" s="32" t="s">
        <v>13</v>
      </c>
      <c r="E38" s="161">
        <f t="shared" si="17"/>
        <v>0</v>
      </c>
      <c r="F38" s="161">
        <f t="shared" si="17"/>
        <v>0</v>
      </c>
      <c r="G38" s="161">
        <f t="shared" si="17"/>
        <v>0</v>
      </c>
      <c r="H38" s="337"/>
      <c r="I38" s="378"/>
      <c r="J38" s="31" t="s">
        <v>2</v>
      </c>
      <c r="K38" s="32" t="s">
        <v>13</v>
      </c>
      <c r="L38" s="161">
        <f>+L34+L28+L24+L20+L16</f>
        <v>5267500</v>
      </c>
      <c r="M38" s="161">
        <f t="shared" ref="M38:N39" si="19">+M34+M28+M24+M20+M16</f>
        <v>2100000</v>
      </c>
      <c r="N38" s="162">
        <f t="shared" si="19"/>
        <v>7367500</v>
      </c>
    </row>
    <row r="39" spans="1:14" s="1" customFormat="1" ht="18" customHeight="1" x14ac:dyDescent="0.2">
      <c r="A39" s="33"/>
      <c r="B39" s="377"/>
      <c r="C39" s="31" t="s">
        <v>4</v>
      </c>
      <c r="D39" s="32" t="s">
        <v>12</v>
      </c>
      <c r="E39" s="161">
        <f t="shared" si="17"/>
        <v>0</v>
      </c>
      <c r="F39" s="161">
        <f t="shared" si="17"/>
        <v>0</v>
      </c>
      <c r="G39" s="161">
        <f t="shared" si="17"/>
        <v>0</v>
      </c>
      <c r="H39" s="338"/>
      <c r="I39" s="378"/>
      <c r="J39" s="31" t="s">
        <v>4</v>
      </c>
      <c r="K39" s="32" t="s">
        <v>12</v>
      </c>
      <c r="L39" s="163">
        <f t="shared" ref="L39" si="20">+L35+L29+L25+L21+L17</f>
        <v>0</v>
      </c>
      <c r="M39" s="163">
        <f t="shared" si="19"/>
        <v>0</v>
      </c>
      <c r="N39" s="164">
        <f t="shared" si="19"/>
        <v>0</v>
      </c>
    </row>
    <row r="40" spans="1:14" s="49" customFormat="1" ht="30.75" customHeight="1" thickBot="1" x14ac:dyDescent="0.25">
      <c r="A40" s="360" t="s">
        <v>98</v>
      </c>
      <c r="B40" s="361"/>
      <c r="C40" s="361"/>
      <c r="D40" s="362"/>
      <c r="E40" s="172">
        <f>+L36-E36</f>
        <v>381380326</v>
      </c>
      <c r="F40" s="172">
        <f>+M36-F36</f>
        <v>138337804</v>
      </c>
      <c r="G40" s="172">
        <f>+N36-G36</f>
        <v>519718130</v>
      </c>
      <c r="H40" s="360" t="s">
        <v>99</v>
      </c>
      <c r="I40" s="361"/>
      <c r="J40" s="361"/>
      <c r="K40" s="362"/>
      <c r="L40" s="173"/>
      <c r="M40" s="173"/>
      <c r="N40" s="174"/>
    </row>
    <row r="41" spans="1:14" s="1" customFormat="1" ht="18" customHeight="1" x14ac:dyDescent="0.2">
      <c r="A41" s="351" t="s">
        <v>52</v>
      </c>
      <c r="B41" s="352"/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353"/>
    </row>
    <row r="42" spans="1:14" s="1" customFormat="1" ht="18" customHeight="1" x14ac:dyDescent="0.2">
      <c r="A42" s="21" t="s">
        <v>3</v>
      </c>
      <c r="B42" s="354" t="s">
        <v>24</v>
      </c>
      <c r="C42" s="355"/>
      <c r="D42" s="356"/>
      <c r="E42" s="146">
        <f>E43+E47+E51</f>
        <v>2664000</v>
      </c>
      <c r="F42" s="146">
        <f>F43+F47+F51</f>
        <v>0</v>
      </c>
      <c r="G42" s="146">
        <f t="shared" ref="G42" si="21">G43+G47+G51</f>
        <v>2664000</v>
      </c>
      <c r="H42" s="19" t="s">
        <v>3</v>
      </c>
      <c r="I42" s="357" t="s">
        <v>22</v>
      </c>
      <c r="J42" s="358"/>
      <c r="K42" s="359"/>
      <c r="L42" s="151">
        <f>L43+L47+L51</f>
        <v>207535276</v>
      </c>
      <c r="M42" s="151">
        <f>M43+M47+M51</f>
        <v>35190750</v>
      </c>
      <c r="N42" s="153">
        <f t="shared" ref="N42" si="22">N43+N47+N51</f>
        <v>242726026</v>
      </c>
    </row>
    <row r="43" spans="1:14" s="1" customFormat="1" ht="18" customHeight="1" x14ac:dyDescent="0.2">
      <c r="A43" s="22"/>
      <c r="B43" s="340" t="s">
        <v>75</v>
      </c>
      <c r="C43" s="343" t="s">
        <v>56</v>
      </c>
      <c r="D43" s="344"/>
      <c r="E43" s="146">
        <f>E44+E45+E46</f>
        <v>0</v>
      </c>
      <c r="F43" s="146">
        <f>F44+F45+F46</f>
        <v>0</v>
      </c>
      <c r="G43" s="146">
        <f t="shared" ref="G43" si="23">G44+G45+G46</f>
        <v>0</v>
      </c>
      <c r="H43" s="18"/>
      <c r="I43" s="345" t="s">
        <v>64</v>
      </c>
      <c r="J43" s="348" t="s">
        <v>15</v>
      </c>
      <c r="K43" s="349"/>
      <c r="L43" s="146">
        <f>L44+L45+L46</f>
        <v>207535276</v>
      </c>
      <c r="M43" s="146">
        <f>M44+M45+M46</f>
        <v>33000000</v>
      </c>
      <c r="N43" s="154">
        <f t="shared" ref="N43" si="24">N44+N45+N46</f>
        <v>240535276</v>
      </c>
    </row>
    <row r="44" spans="1:14" s="1" customFormat="1" ht="18" customHeight="1" x14ac:dyDescent="0.2">
      <c r="A44" s="22"/>
      <c r="B44" s="341"/>
      <c r="C44" s="24" t="s">
        <v>1</v>
      </c>
      <c r="D44" s="25" t="s">
        <v>10</v>
      </c>
      <c r="E44" s="148">
        <f>'2.'!E44+'3.'!E44</f>
        <v>0</v>
      </c>
      <c r="F44" s="148">
        <f>'2.'!F44+'3.'!F44</f>
        <v>0</v>
      </c>
      <c r="G44" s="150">
        <f>+F44+E44</f>
        <v>0</v>
      </c>
      <c r="H44" s="18"/>
      <c r="I44" s="346"/>
      <c r="J44" s="24" t="s">
        <v>1</v>
      </c>
      <c r="K44" s="25" t="s">
        <v>10</v>
      </c>
      <c r="L44" s="148">
        <f>+'2.'!L44+'3.'!L44</f>
        <v>207535276</v>
      </c>
      <c r="M44" s="148">
        <f>+'2.'!M44+'3.'!M44</f>
        <v>33000000</v>
      </c>
      <c r="N44" s="150">
        <f>+M44+L44</f>
        <v>240535276</v>
      </c>
    </row>
    <row r="45" spans="1:14" s="1" customFormat="1" ht="18" customHeight="1" x14ac:dyDescent="0.2">
      <c r="A45" s="22"/>
      <c r="B45" s="341"/>
      <c r="C45" s="24" t="s">
        <v>2</v>
      </c>
      <c r="D45" s="25" t="s">
        <v>13</v>
      </c>
      <c r="E45" s="148">
        <f>+'2.'!E45+'3.'!E45</f>
        <v>0</v>
      </c>
      <c r="F45" s="148">
        <f>'2.'!F45+'3.'!F45</f>
        <v>0</v>
      </c>
      <c r="G45" s="150">
        <f>+F45+E45</f>
        <v>0</v>
      </c>
      <c r="H45" s="18"/>
      <c r="I45" s="346"/>
      <c r="J45" s="24" t="s">
        <v>2</v>
      </c>
      <c r="K45" s="25" t="s">
        <v>13</v>
      </c>
      <c r="L45" s="148">
        <f>+'2.'!L45+'3.'!L45</f>
        <v>0</v>
      </c>
      <c r="M45" s="148">
        <f>+'2.'!M45+'3.'!M45</f>
        <v>0</v>
      </c>
      <c r="N45" s="150">
        <f t="shared" ref="N45:N46" si="25">+M45+L45</f>
        <v>0</v>
      </c>
    </row>
    <row r="46" spans="1:14" s="1" customFormat="1" ht="18" customHeight="1" x14ac:dyDescent="0.2">
      <c r="A46" s="22"/>
      <c r="B46" s="342"/>
      <c r="C46" s="24" t="s">
        <v>4</v>
      </c>
      <c r="D46" s="25" t="s">
        <v>12</v>
      </c>
      <c r="E46" s="148">
        <f>+'2.'!E46+'3.'!E46</f>
        <v>0</v>
      </c>
      <c r="F46" s="148">
        <f>'2.'!F46+'3.'!F46</f>
        <v>0</v>
      </c>
      <c r="G46" s="150">
        <f>+F46+E46</f>
        <v>0</v>
      </c>
      <c r="H46" s="18"/>
      <c r="I46" s="347"/>
      <c r="J46" s="24" t="s">
        <v>4</v>
      </c>
      <c r="K46" s="25" t="s">
        <v>12</v>
      </c>
      <c r="L46" s="148">
        <f>+'2.'!L46+'3.'!L46</f>
        <v>0</v>
      </c>
      <c r="M46" s="148">
        <f>+'2.'!M46+'3.'!M46</f>
        <v>0</v>
      </c>
      <c r="N46" s="150">
        <f t="shared" si="25"/>
        <v>0</v>
      </c>
    </row>
    <row r="47" spans="1:14" s="1" customFormat="1" ht="18" customHeight="1" x14ac:dyDescent="0.2">
      <c r="A47" s="22"/>
      <c r="B47" s="340" t="s">
        <v>78</v>
      </c>
      <c r="C47" s="343" t="s">
        <v>25</v>
      </c>
      <c r="D47" s="344"/>
      <c r="E47" s="146">
        <f>E48+E49+E50</f>
        <v>0</v>
      </c>
      <c r="F47" s="146">
        <f t="shared" ref="F47:G47" si="26">F48+F49+F50</f>
        <v>0</v>
      </c>
      <c r="G47" s="146">
        <f t="shared" si="26"/>
        <v>0</v>
      </c>
      <c r="H47" s="18"/>
      <c r="I47" s="345" t="s">
        <v>65</v>
      </c>
      <c r="J47" s="343" t="s">
        <v>16</v>
      </c>
      <c r="K47" s="344"/>
      <c r="L47" s="146">
        <f>L48+L49+L50</f>
        <v>0</v>
      </c>
      <c r="M47" s="146">
        <f>M48+M49+M50</f>
        <v>2190750</v>
      </c>
      <c r="N47" s="154">
        <f t="shared" ref="N47" si="27">N48+N49+N50</f>
        <v>2190750</v>
      </c>
    </row>
    <row r="48" spans="1:14" s="1" customFormat="1" ht="18" customHeight="1" x14ac:dyDescent="0.2">
      <c r="A48" s="22"/>
      <c r="B48" s="341"/>
      <c r="C48" s="24" t="s">
        <v>1</v>
      </c>
      <c r="D48" s="25" t="s">
        <v>10</v>
      </c>
      <c r="E48" s="148">
        <f>+'2.'!E48+'3.'!E48</f>
        <v>0</v>
      </c>
      <c r="F48" s="148">
        <f>+'2.'!F48+'3.'!F48</f>
        <v>0</v>
      </c>
      <c r="G48" s="150">
        <f>+F48+E48</f>
        <v>0</v>
      </c>
      <c r="H48" s="18"/>
      <c r="I48" s="346"/>
      <c r="J48" s="24" t="s">
        <v>1</v>
      </c>
      <c r="K48" s="25" t="s">
        <v>10</v>
      </c>
      <c r="L48" s="148">
        <f>+'2.'!L48+'3.'!L48</f>
        <v>0</v>
      </c>
      <c r="M48" s="148">
        <f>+'2.'!M48+'3.'!M48</f>
        <v>2190750</v>
      </c>
      <c r="N48" s="150">
        <f>+M48+L48</f>
        <v>2190750</v>
      </c>
    </row>
    <row r="49" spans="1:17" s="1" customFormat="1" ht="18" customHeight="1" x14ac:dyDescent="0.2">
      <c r="A49" s="22"/>
      <c r="B49" s="341"/>
      <c r="C49" s="24" t="s">
        <v>2</v>
      </c>
      <c r="D49" s="25" t="s">
        <v>13</v>
      </c>
      <c r="E49" s="148">
        <f>+'2.'!E49+'3.'!E49</f>
        <v>0</v>
      </c>
      <c r="F49" s="148">
        <f>+'2.'!F49+'3.'!F49</f>
        <v>0</v>
      </c>
      <c r="G49" s="150">
        <f>+F49+E49</f>
        <v>0</v>
      </c>
      <c r="H49" s="18"/>
      <c r="I49" s="346"/>
      <c r="J49" s="24" t="s">
        <v>2</v>
      </c>
      <c r="K49" s="25" t="s">
        <v>13</v>
      </c>
      <c r="L49" s="148">
        <f>+'2.'!L49+'3.'!L49</f>
        <v>0</v>
      </c>
      <c r="M49" s="148">
        <f>+'2.'!M49+'3.'!M49</f>
        <v>0</v>
      </c>
      <c r="N49" s="150">
        <f t="shared" ref="N49:N50" si="28">+M49+L49</f>
        <v>0</v>
      </c>
    </row>
    <row r="50" spans="1:17" s="1" customFormat="1" ht="18" customHeight="1" x14ac:dyDescent="0.2">
      <c r="A50" s="22"/>
      <c r="B50" s="342"/>
      <c r="C50" s="24" t="s">
        <v>4</v>
      </c>
      <c r="D50" s="25" t="s">
        <v>12</v>
      </c>
      <c r="E50" s="148">
        <f>+'2.'!E50+'3.'!E50</f>
        <v>0</v>
      </c>
      <c r="F50" s="148">
        <f>+'2.'!F50+'3.'!F50</f>
        <v>0</v>
      </c>
      <c r="G50" s="150">
        <f>+F50+E50</f>
        <v>0</v>
      </c>
      <c r="H50" s="18"/>
      <c r="I50" s="347"/>
      <c r="J50" s="24" t="s">
        <v>4</v>
      </c>
      <c r="K50" s="25" t="s">
        <v>12</v>
      </c>
      <c r="L50" s="148">
        <f>+'2.'!L50+'3.'!L50</f>
        <v>0</v>
      </c>
      <c r="M50" s="148">
        <f>+'2.'!M50+'3.'!M50</f>
        <v>0</v>
      </c>
      <c r="N50" s="150">
        <f t="shared" si="28"/>
        <v>0</v>
      </c>
    </row>
    <row r="51" spans="1:17" s="1" customFormat="1" ht="18" customHeight="1" x14ac:dyDescent="0.2">
      <c r="A51" s="22"/>
      <c r="B51" s="340" t="s">
        <v>80</v>
      </c>
      <c r="C51" s="348" t="s">
        <v>55</v>
      </c>
      <c r="D51" s="349"/>
      <c r="E51" s="146">
        <f>E52+E53+E54</f>
        <v>2664000</v>
      </c>
      <c r="F51" s="146">
        <f t="shared" ref="F51:G51" si="29">F52+F53+F54</f>
        <v>0</v>
      </c>
      <c r="G51" s="146">
        <f t="shared" si="29"/>
        <v>2664000</v>
      </c>
      <c r="H51" s="18"/>
      <c r="I51" s="345" t="s">
        <v>66</v>
      </c>
      <c r="J51" s="350" t="s">
        <v>67</v>
      </c>
      <c r="K51" s="350"/>
      <c r="L51" s="146">
        <f>L52+L53+L54</f>
        <v>0</v>
      </c>
      <c r="M51" s="146">
        <f>M52+M53+M54</f>
        <v>0</v>
      </c>
      <c r="N51" s="154">
        <f t="shared" ref="N51" si="30">N52+N53+N54</f>
        <v>0</v>
      </c>
    </row>
    <row r="52" spans="1:17" s="1" customFormat="1" ht="18" customHeight="1" x14ac:dyDescent="0.2">
      <c r="A52" s="22"/>
      <c r="B52" s="341"/>
      <c r="C52" s="24" t="s">
        <v>1</v>
      </c>
      <c r="D52" s="25" t="s">
        <v>10</v>
      </c>
      <c r="E52" s="148">
        <f>+'2.'!E52+'3.'!E52</f>
        <v>2664000</v>
      </c>
      <c r="F52" s="148">
        <f>+'2.'!F52+'3.'!F52</f>
        <v>0</v>
      </c>
      <c r="G52" s="150">
        <f>+F52+E52</f>
        <v>2664000</v>
      </c>
      <c r="H52" s="18"/>
      <c r="I52" s="346"/>
      <c r="J52" s="24" t="s">
        <v>1</v>
      </c>
      <c r="K52" s="25" t="s">
        <v>10</v>
      </c>
      <c r="L52" s="148">
        <f>+'2.'!L52+'3.'!L52</f>
        <v>0</v>
      </c>
      <c r="M52" s="148">
        <f>+'2.'!M52+'3.'!M52</f>
        <v>0</v>
      </c>
      <c r="N52" s="150">
        <f>+M52+L52</f>
        <v>0</v>
      </c>
    </row>
    <row r="53" spans="1:17" s="1" customFormat="1" ht="18" customHeight="1" x14ac:dyDescent="0.2">
      <c r="A53" s="22"/>
      <c r="B53" s="341"/>
      <c r="C53" s="24" t="s">
        <v>2</v>
      </c>
      <c r="D53" s="25" t="s">
        <v>13</v>
      </c>
      <c r="E53" s="148">
        <f>+'2.'!E53+'3.'!E53</f>
        <v>0</v>
      </c>
      <c r="F53" s="148">
        <f>+'2.'!F53+'3.'!F53</f>
        <v>0</v>
      </c>
      <c r="G53" s="150">
        <f>+F53+E53</f>
        <v>0</v>
      </c>
      <c r="H53" s="18"/>
      <c r="I53" s="346"/>
      <c r="J53" s="24" t="s">
        <v>2</v>
      </c>
      <c r="K53" s="25" t="s">
        <v>13</v>
      </c>
      <c r="L53" s="148">
        <f>+'2.'!L53+'3.'!L53</f>
        <v>0</v>
      </c>
      <c r="M53" s="148">
        <f>+'2.'!M53+'3.'!M53</f>
        <v>0</v>
      </c>
      <c r="N53" s="150">
        <f t="shared" ref="N53:N54" si="31">+M53+L53</f>
        <v>0</v>
      </c>
    </row>
    <row r="54" spans="1:17" s="1" customFormat="1" ht="18" customHeight="1" x14ac:dyDescent="0.2">
      <c r="A54" s="23"/>
      <c r="B54" s="342"/>
      <c r="C54" s="24" t="s">
        <v>4</v>
      </c>
      <c r="D54" s="25" t="s">
        <v>12</v>
      </c>
      <c r="E54" s="148">
        <f>+'2.'!E54+'3.'!E54</f>
        <v>0</v>
      </c>
      <c r="F54" s="148">
        <f>+'2.'!F54+'3.'!F54</f>
        <v>0</v>
      </c>
      <c r="G54" s="150">
        <f>+F54+E54</f>
        <v>0</v>
      </c>
      <c r="H54" s="17"/>
      <c r="I54" s="347"/>
      <c r="J54" s="24" t="s">
        <v>4</v>
      </c>
      <c r="K54" s="25" t="s">
        <v>12</v>
      </c>
      <c r="L54" s="148">
        <f>+'2.'!L54+'3.'!L54</f>
        <v>0</v>
      </c>
      <c r="M54" s="148">
        <f>+'2.'!M54+'3.'!M54</f>
        <v>0</v>
      </c>
      <c r="N54" s="150">
        <f t="shared" si="31"/>
        <v>0</v>
      </c>
    </row>
    <row r="55" spans="1:17" s="1" customFormat="1" ht="18" customHeight="1" x14ac:dyDescent="0.2">
      <c r="A55" s="28" t="s">
        <v>3</v>
      </c>
      <c r="B55" s="320" t="s">
        <v>26</v>
      </c>
      <c r="C55" s="321"/>
      <c r="D55" s="322"/>
      <c r="E55" s="159">
        <f>E56+E57+E58</f>
        <v>2664000</v>
      </c>
      <c r="F55" s="159">
        <f t="shared" ref="F55:G55" si="32">F56+F57+F58</f>
        <v>0</v>
      </c>
      <c r="G55" s="159">
        <f t="shared" si="32"/>
        <v>2664000</v>
      </c>
      <c r="H55" s="29" t="s">
        <v>3</v>
      </c>
      <c r="I55" s="320" t="s">
        <v>19</v>
      </c>
      <c r="J55" s="321"/>
      <c r="K55" s="322"/>
      <c r="L55" s="159">
        <f>L56+L57+L58</f>
        <v>207535276</v>
      </c>
      <c r="M55" s="159">
        <f t="shared" ref="M55:N55" si="33">M56+M57+M58</f>
        <v>35190750</v>
      </c>
      <c r="N55" s="160">
        <f t="shared" si="33"/>
        <v>242726026</v>
      </c>
    </row>
    <row r="56" spans="1:17" s="1" customFormat="1" ht="18" customHeight="1" x14ac:dyDescent="0.2">
      <c r="A56" s="30"/>
      <c r="B56" s="323" t="s">
        <v>83</v>
      </c>
      <c r="C56" s="31" t="s">
        <v>1</v>
      </c>
      <c r="D56" s="32" t="s">
        <v>10</v>
      </c>
      <c r="E56" s="161">
        <f>E44+E48+E52</f>
        <v>2664000</v>
      </c>
      <c r="F56" s="161">
        <f t="shared" ref="F56:G58" si="34">F44+F48+F52</f>
        <v>0</v>
      </c>
      <c r="G56" s="161">
        <f t="shared" si="34"/>
        <v>2664000</v>
      </c>
      <c r="H56" s="34"/>
      <c r="I56" s="325" t="s">
        <v>68</v>
      </c>
      <c r="J56" s="31" t="s">
        <v>1</v>
      </c>
      <c r="K56" s="32" t="s">
        <v>10</v>
      </c>
      <c r="L56" s="161">
        <f t="shared" ref="L56:N58" si="35">L44+L48+L52</f>
        <v>207535276</v>
      </c>
      <c r="M56" s="161">
        <f t="shared" si="35"/>
        <v>35190750</v>
      </c>
      <c r="N56" s="162">
        <f t="shared" si="35"/>
        <v>242726026</v>
      </c>
    </row>
    <row r="57" spans="1:17" s="1" customFormat="1" ht="18" customHeight="1" x14ac:dyDescent="0.2">
      <c r="A57" s="30"/>
      <c r="B57" s="324"/>
      <c r="C57" s="31" t="s">
        <v>2</v>
      </c>
      <c r="D57" s="32" t="s">
        <v>13</v>
      </c>
      <c r="E57" s="161">
        <f>E45+E49+E53</f>
        <v>0</v>
      </c>
      <c r="F57" s="161">
        <f t="shared" si="34"/>
        <v>0</v>
      </c>
      <c r="G57" s="161">
        <f t="shared" si="34"/>
        <v>0</v>
      </c>
      <c r="H57" s="34"/>
      <c r="I57" s="325"/>
      <c r="J57" s="31" t="s">
        <v>2</v>
      </c>
      <c r="K57" s="32" t="s">
        <v>13</v>
      </c>
      <c r="L57" s="161">
        <f t="shared" si="35"/>
        <v>0</v>
      </c>
      <c r="M57" s="161">
        <f t="shared" si="35"/>
        <v>0</v>
      </c>
      <c r="N57" s="162">
        <f t="shared" si="35"/>
        <v>0</v>
      </c>
    </row>
    <row r="58" spans="1:17" s="1" customFormat="1" ht="18" customHeight="1" thickBot="1" x14ac:dyDescent="0.25">
      <c r="A58" s="30"/>
      <c r="B58" s="324"/>
      <c r="C58" s="38" t="s">
        <v>4</v>
      </c>
      <c r="D58" s="39" t="s">
        <v>12</v>
      </c>
      <c r="E58" s="163">
        <f>E46+E50+E54</f>
        <v>0</v>
      </c>
      <c r="F58" s="163">
        <f t="shared" si="34"/>
        <v>0</v>
      </c>
      <c r="G58" s="163">
        <f t="shared" si="34"/>
        <v>0</v>
      </c>
      <c r="H58" s="34"/>
      <c r="I58" s="326"/>
      <c r="J58" s="38" t="s">
        <v>4</v>
      </c>
      <c r="K58" s="39" t="s">
        <v>12</v>
      </c>
      <c r="L58" s="163">
        <f t="shared" si="35"/>
        <v>0</v>
      </c>
      <c r="M58" s="163">
        <f t="shared" si="35"/>
        <v>0</v>
      </c>
      <c r="N58" s="164">
        <f t="shared" si="35"/>
        <v>0</v>
      </c>
    </row>
    <row r="59" spans="1:17" s="48" customFormat="1" ht="31.5" customHeight="1" thickBot="1" x14ac:dyDescent="0.25">
      <c r="A59" s="327" t="s">
        <v>100</v>
      </c>
      <c r="B59" s="328"/>
      <c r="C59" s="328"/>
      <c r="D59" s="328"/>
      <c r="E59" s="206">
        <f>L55-E55</f>
        <v>204871276</v>
      </c>
      <c r="F59" s="206">
        <f>M55-F55</f>
        <v>35190750</v>
      </c>
      <c r="G59" s="206">
        <f>+N55-G55</f>
        <v>240062026</v>
      </c>
      <c r="H59" s="327" t="s">
        <v>101</v>
      </c>
      <c r="I59" s="328"/>
      <c r="J59" s="328"/>
      <c r="K59" s="328"/>
      <c r="L59" s="208"/>
      <c r="M59" s="209"/>
      <c r="N59" s="210"/>
    </row>
    <row r="60" spans="1:17" s="1" customFormat="1" ht="18" customHeight="1" x14ac:dyDescent="0.2">
      <c r="A60" s="43" t="s">
        <v>41</v>
      </c>
      <c r="B60" s="329" t="s">
        <v>42</v>
      </c>
      <c r="C60" s="330"/>
      <c r="D60" s="331"/>
      <c r="E60" s="207">
        <f>E61+E62+E63</f>
        <v>958503380</v>
      </c>
      <c r="F60" s="207">
        <f t="shared" ref="F60:G60" si="36">F61+F62+F63</f>
        <v>31270308</v>
      </c>
      <c r="G60" s="207">
        <f t="shared" si="36"/>
        <v>989773688</v>
      </c>
      <c r="H60" s="40" t="s">
        <v>41</v>
      </c>
      <c r="I60" s="332" t="s">
        <v>44</v>
      </c>
      <c r="J60" s="333"/>
      <c r="K60" s="333"/>
      <c r="L60" s="167">
        <f>L61+L62+L63</f>
        <v>1544754982</v>
      </c>
      <c r="M60" s="167">
        <f t="shared" ref="M60:N60" si="37">M61+M62+M63</f>
        <v>204798862</v>
      </c>
      <c r="N60" s="169">
        <f t="shared" si="37"/>
        <v>1749553844</v>
      </c>
      <c r="P60" s="50"/>
      <c r="Q60" s="50"/>
    </row>
    <row r="61" spans="1:17" s="1" customFormat="1" ht="18" customHeight="1" x14ac:dyDescent="0.2">
      <c r="A61" s="30"/>
      <c r="B61" s="334" t="s">
        <v>85</v>
      </c>
      <c r="C61" s="31" t="s">
        <v>1</v>
      </c>
      <c r="D61" s="32" t="s">
        <v>10</v>
      </c>
      <c r="E61" s="163">
        <f t="shared" ref="E61:F63" si="38">E37+E56</f>
        <v>958503380</v>
      </c>
      <c r="F61" s="163">
        <f t="shared" si="38"/>
        <v>31270308</v>
      </c>
      <c r="G61" s="163">
        <f t="shared" ref="G61:G63" si="39">G37+G56</f>
        <v>989773688</v>
      </c>
      <c r="H61" s="337"/>
      <c r="I61" s="339" t="s">
        <v>84</v>
      </c>
      <c r="J61" s="31" t="s">
        <v>1</v>
      </c>
      <c r="K61" s="32" t="s">
        <v>10</v>
      </c>
      <c r="L61" s="163">
        <f t="shared" ref="L61:N63" si="40">L37+L56</f>
        <v>1539487482</v>
      </c>
      <c r="M61" s="163">
        <f t="shared" si="40"/>
        <v>202698862</v>
      </c>
      <c r="N61" s="164">
        <f t="shared" si="40"/>
        <v>1742186344</v>
      </c>
    </row>
    <row r="62" spans="1:17" s="1" customFormat="1" ht="18" customHeight="1" x14ac:dyDescent="0.2">
      <c r="A62" s="30"/>
      <c r="B62" s="335"/>
      <c r="C62" s="31" t="s">
        <v>2</v>
      </c>
      <c r="D62" s="32" t="s">
        <v>13</v>
      </c>
      <c r="E62" s="163">
        <f t="shared" si="38"/>
        <v>0</v>
      </c>
      <c r="F62" s="163">
        <f t="shared" si="38"/>
        <v>0</v>
      </c>
      <c r="G62" s="163">
        <f t="shared" si="39"/>
        <v>0</v>
      </c>
      <c r="H62" s="337"/>
      <c r="I62" s="339"/>
      <c r="J62" s="31" t="s">
        <v>2</v>
      </c>
      <c r="K62" s="32" t="s">
        <v>13</v>
      </c>
      <c r="L62" s="163">
        <f t="shared" si="40"/>
        <v>5267500</v>
      </c>
      <c r="M62" s="163">
        <f t="shared" si="40"/>
        <v>2100000</v>
      </c>
      <c r="N62" s="164">
        <f t="shared" si="40"/>
        <v>7367500</v>
      </c>
    </row>
    <row r="63" spans="1:17" s="1" customFormat="1" ht="18" customHeight="1" x14ac:dyDescent="0.2">
      <c r="A63" s="33"/>
      <c r="B63" s="336"/>
      <c r="C63" s="31" t="s">
        <v>4</v>
      </c>
      <c r="D63" s="32" t="s">
        <v>12</v>
      </c>
      <c r="E63" s="161">
        <f t="shared" si="38"/>
        <v>0</v>
      </c>
      <c r="F63" s="161">
        <f t="shared" si="38"/>
        <v>0</v>
      </c>
      <c r="G63" s="161">
        <f t="shared" si="39"/>
        <v>0</v>
      </c>
      <c r="H63" s="338"/>
      <c r="I63" s="339"/>
      <c r="J63" s="31" t="s">
        <v>4</v>
      </c>
      <c r="K63" s="32" t="s">
        <v>12</v>
      </c>
      <c r="L63" s="161">
        <f t="shared" si="40"/>
        <v>0</v>
      </c>
      <c r="M63" s="161">
        <f t="shared" si="40"/>
        <v>0</v>
      </c>
      <c r="N63" s="162">
        <f t="shared" si="40"/>
        <v>0</v>
      </c>
    </row>
    <row r="64" spans="1:17" s="11" customFormat="1" ht="30" customHeight="1" thickBot="1" x14ac:dyDescent="0.25">
      <c r="A64" s="317" t="s">
        <v>72</v>
      </c>
      <c r="B64" s="318"/>
      <c r="C64" s="318"/>
      <c r="D64" s="319"/>
      <c r="E64" s="175">
        <f>+L60-E60</f>
        <v>586251602</v>
      </c>
      <c r="F64" s="175">
        <f t="shared" ref="F64:G64" si="41">+M60-F60</f>
        <v>173528554</v>
      </c>
      <c r="G64" s="175">
        <f t="shared" si="41"/>
        <v>759780156</v>
      </c>
      <c r="H64" s="317" t="s">
        <v>73</v>
      </c>
      <c r="I64" s="318"/>
      <c r="J64" s="318"/>
      <c r="K64" s="319"/>
      <c r="L64" s="179"/>
      <c r="M64" s="179"/>
      <c r="N64" s="180"/>
    </row>
    <row r="65" spans="1:14" s="1" customFormat="1" ht="18" customHeight="1" x14ac:dyDescent="0.2">
      <c r="A65" s="47" t="s">
        <v>45</v>
      </c>
      <c r="B65" s="306" t="s">
        <v>43</v>
      </c>
      <c r="C65" s="307"/>
      <c r="D65" s="308"/>
      <c r="E65" s="168">
        <f>E66+E67</f>
        <v>598695602</v>
      </c>
      <c r="F65" s="168">
        <f t="shared" ref="F65:G65" si="42">F66+F67</f>
        <v>173528554</v>
      </c>
      <c r="G65" s="168">
        <f t="shared" si="42"/>
        <v>772224156</v>
      </c>
      <c r="H65" s="59" t="s">
        <v>45</v>
      </c>
      <c r="I65" s="309" t="s">
        <v>57</v>
      </c>
      <c r="J65" s="310"/>
      <c r="K65" s="311"/>
      <c r="L65" s="170">
        <f>L66+L67</f>
        <v>12444000</v>
      </c>
      <c r="M65" s="170">
        <f>M66+M67</f>
        <v>0</v>
      </c>
      <c r="N65" s="171">
        <f t="shared" ref="N65" si="43">N66+N67</f>
        <v>12444000</v>
      </c>
    </row>
    <row r="66" spans="1:14" s="1" customFormat="1" ht="18" customHeight="1" x14ac:dyDescent="0.2">
      <c r="A66" s="35"/>
      <c r="B66" s="312" t="s">
        <v>74</v>
      </c>
      <c r="C66" s="24" t="s">
        <v>1</v>
      </c>
      <c r="D66" s="25" t="s">
        <v>86</v>
      </c>
      <c r="E66" s="148">
        <f>+'2.'!E66+'3.'!E66</f>
        <v>598695602</v>
      </c>
      <c r="F66" s="148">
        <f>+'2.'!F66+'3.'!F66</f>
        <v>173528554</v>
      </c>
      <c r="G66" s="150">
        <f>+F66+E66</f>
        <v>772224156</v>
      </c>
      <c r="H66" s="35"/>
      <c r="I66" s="312" t="s">
        <v>69</v>
      </c>
      <c r="J66" s="24" t="s">
        <v>1</v>
      </c>
      <c r="K66" s="25" t="s">
        <v>89</v>
      </c>
      <c r="L66" s="148">
        <v>0</v>
      </c>
      <c r="M66" s="148">
        <v>0</v>
      </c>
      <c r="N66" s="150">
        <f>+M66+L66</f>
        <v>0</v>
      </c>
    </row>
    <row r="67" spans="1:14" s="1" customFormat="1" ht="18" customHeight="1" x14ac:dyDescent="0.2">
      <c r="A67" s="35"/>
      <c r="B67" s="313"/>
      <c r="C67" s="24" t="s">
        <v>2</v>
      </c>
      <c r="D67" s="25" t="s">
        <v>87</v>
      </c>
      <c r="E67" s="148">
        <v>0</v>
      </c>
      <c r="F67" s="149">
        <v>0</v>
      </c>
      <c r="G67" s="150">
        <f>+F67+E67</f>
        <v>0</v>
      </c>
      <c r="H67" s="35"/>
      <c r="I67" s="313"/>
      <c r="J67" s="24" t="s">
        <v>2</v>
      </c>
      <c r="K67" s="25" t="s">
        <v>88</v>
      </c>
      <c r="L67" s="148">
        <f>+'2.'!L67+'3.'!L67</f>
        <v>12444000</v>
      </c>
      <c r="M67" s="148">
        <f>+'2.'!M67+'3.'!M67</f>
        <v>0</v>
      </c>
      <c r="N67" s="150">
        <f>+M67+L67</f>
        <v>12444000</v>
      </c>
    </row>
    <row r="68" spans="1:14" s="7" customFormat="1" ht="18" customHeight="1" x14ac:dyDescent="0.2">
      <c r="A68" s="181" t="s">
        <v>46</v>
      </c>
      <c r="B68" s="314" t="s">
        <v>29</v>
      </c>
      <c r="C68" s="315"/>
      <c r="D68" s="316"/>
      <c r="E68" s="182">
        <f>E69+E70+E71</f>
        <v>1557198982</v>
      </c>
      <c r="F68" s="182">
        <f t="shared" ref="F68:G68" si="44">F69+F70+F71</f>
        <v>204798862</v>
      </c>
      <c r="G68" s="182">
        <f t="shared" si="44"/>
        <v>1761997844</v>
      </c>
      <c r="H68" s="183" t="s">
        <v>46</v>
      </c>
      <c r="I68" s="314" t="s">
        <v>30</v>
      </c>
      <c r="J68" s="315"/>
      <c r="K68" s="316"/>
      <c r="L68" s="182">
        <f>L69+L70+L71</f>
        <v>1557198982</v>
      </c>
      <c r="M68" s="182">
        <f t="shared" ref="M68:N68" si="45">M69+M70+M71</f>
        <v>204798862</v>
      </c>
      <c r="N68" s="184">
        <f t="shared" si="45"/>
        <v>1761997844</v>
      </c>
    </row>
    <row r="69" spans="1:14" s="7" customFormat="1" ht="18" customHeight="1" x14ac:dyDescent="0.2">
      <c r="A69" s="185"/>
      <c r="B69" s="302" t="s">
        <v>71</v>
      </c>
      <c r="C69" s="186" t="s">
        <v>1</v>
      </c>
      <c r="D69" s="187" t="s">
        <v>10</v>
      </c>
      <c r="E69" s="188">
        <f>E61+E66+E67</f>
        <v>1557198982</v>
      </c>
      <c r="F69" s="188">
        <f>F61+F66+F67</f>
        <v>204798862</v>
      </c>
      <c r="G69" s="188">
        <f t="shared" ref="G69" si="46">G61+G66+G67</f>
        <v>1761997844</v>
      </c>
      <c r="H69" s="189"/>
      <c r="I69" s="302" t="s">
        <v>70</v>
      </c>
      <c r="J69" s="186" t="s">
        <v>1</v>
      </c>
      <c r="K69" s="187" t="s">
        <v>10</v>
      </c>
      <c r="L69" s="188">
        <f>L61+L66+L67</f>
        <v>1551931482</v>
      </c>
      <c r="M69" s="188">
        <f t="shared" ref="M69:N69" si="47">M61+M66+M67</f>
        <v>202698862</v>
      </c>
      <c r="N69" s="190">
        <f t="shared" si="47"/>
        <v>1754630344</v>
      </c>
    </row>
    <row r="70" spans="1:14" s="7" customFormat="1" ht="18" customHeight="1" x14ac:dyDescent="0.2">
      <c r="A70" s="185"/>
      <c r="B70" s="303"/>
      <c r="C70" s="186" t="s">
        <v>2</v>
      </c>
      <c r="D70" s="187" t="s">
        <v>13</v>
      </c>
      <c r="E70" s="188">
        <f>E62</f>
        <v>0</v>
      </c>
      <c r="F70" s="188">
        <f t="shared" ref="F70:G71" si="48">F62</f>
        <v>0</v>
      </c>
      <c r="G70" s="188">
        <f t="shared" si="48"/>
        <v>0</v>
      </c>
      <c r="H70" s="189"/>
      <c r="I70" s="303"/>
      <c r="J70" s="186" t="s">
        <v>2</v>
      </c>
      <c r="K70" s="187" t="s">
        <v>13</v>
      </c>
      <c r="L70" s="188">
        <f t="shared" ref="L70:N71" si="49">L62</f>
        <v>5267500</v>
      </c>
      <c r="M70" s="188">
        <f t="shared" si="49"/>
        <v>2100000</v>
      </c>
      <c r="N70" s="190">
        <f t="shared" si="49"/>
        <v>7367500</v>
      </c>
    </row>
    <row r="71" spans="1:14" s="7" customFormat="1" ht="18" customHeight="1" thickBot="1" x14ac:dyDescent="0.25">
      <c r="A71" s="191"/>
      <c r="B71" s="304"/>
      <c r="C71" s="192" t="s">
        <v>4</v>
      </c>
      <c r="D71" s="193" t="s">
        <v>12</v>
      </c>
      <c r="E71" s="194">
        <f>E63</f>
        <v>0</v>
      </c>
      <c r="F71" s="194">
        <f t="shared" si="48"/>
        <v>0</v>
      </c>
      <c r="G71" s="194">
        <f t="shared" si="48"/>
        <v>0</v>
      </c>
      <c r="H71" s="195"/>
      <c r="I71" s="304"/>
      <c r="J71" s="192" t="s">
        <v>4</v>
      </c>
      <c r="K71" s="193" t="s">
        <v>12</v>
      </c>
      <c r="L71" s="194">
        <f t="shared" si="49"/>
        <v>0</v>
      </c>
      <c r="M71" s="194">
        <f t="shared" si="49"/>
        <v>0</v>
      </c>
      <c r="N71" s="196">
        <f t="shared" si="49"/>
        <v>0</v>
      </c>
    </row>
    <row r="74" spans="1:14" x14ac:dyDescent="0.2">
      <c r="A74" s="305"/>
      <c r="B74" s="305"/>
      <c r="C74" s="305"/>
      <c r="D74" s="305"/>
      <c r="E74" s="305"/>
      <c r="F74" s="20"/>
      <c r="G74" s="20"/>
    </row>
  </sheetData>
  <sheetProtection formatCells="0"/>
  <mergeCells count="78">
    <mergeCell ref="A7:N7"/>
    <mergeCell ref="K1:N1"/>
    <mergeCell ref="A4:N4"/>
    <mergeCell ref="A5:N5"/>
    <mergeCell ref="A6:N6"/>
    <mergeCell ref="K2:N2"/>
    <mergeCell ref="A8:N8"/>
    <mergeCell ref="D9:K9"/>
    <mergeCell ref="A10:E10"/>
    <mergeCell ref="H10:N10"/>
    <mergeCell ref="C11:D11"/>
    <mergeCell ref="J11:K11"/>
    <mergeCell ref="A12:N12"/>
    <mergeCell ref="B13:D13"/>
    <mergeCell ref="I13:K13"/>
    <mergeCell ref="B14:B17"/>
    <mergeCell ref="C14:D14"/>
    <mergeCell ref="I14:I17"/>
    <mergeCell ref="J14:K14"/>
    <mergeCell ref="B18:B21"/>
    <mergeCell ref="C18:D18"/>
    <mergeCell ref="I18:I21"/>
    <mergeCell ref="J18:K18"/>
    <mergeCell ref="B22:B25"/>
    <mergeCell ref="C22:D22"/>
    <mergeCell ref="I22:I25"/>
    <mergeCell ref="J22:K22"/>
    <mergeCell ref="A40:D40"/>
    <mergeCell ref="H40:K40"/>
    <mergeCell ref="B26:B29"/>
    <mergeCell ref="C26:D26"/>
    <mergeCell ref="I26:I29"/>
    <mergeCell ref="J26:K26"/>
    <mergeCell ref="A30:G35"/>
    <mergeCell ref="I30:I35"/>
    <mergeCell ref="J30:K30"/>
    <mergeCell ref="B36:D36"/>
    <mergeCell ref="I36:K36"/>
    <mergeCell ref="B37:B39"/>
    <mergeCell ref="H37:H39"/>
    <mergeCell ref="I37:I39"/>
    <mergeCell ref="A41:N41"/>
    <mergeCell ref="B42:D42"/>
    <mergeCell ref="I42:K42"/>
    <mergeCell ref="B43:B46"/>
    <mergeCell ref="C43:D43"/>
    <mergeCell ref="I43:I46"/>
    <mergeCell ref="J43:K43"/>
    <mergeCell ref="B47:B50"/>
    <mergeCell ref="C47:D47"/>
    <mergeCell ref="I47:I50"/>
    <mergeCell ref="J47:K47"/>
    <mergeCell ref="B51:B54"/>
    <mergeCell ref="C51:D51"/>
    <mergeCell ref="I51:I54"/>
    <mergeCell ref="J51:K51"/>
    <mergeCell ref="A64:D64"/>
    <mergeCell ref="H64:K64"/>
    <mergeCell ref="B55:D55"/>
    <mergeCell ref="I55:K55"/>
    <mergeCell ref="B56:B58"/>
    <mergeCell ref="I56:I58"/>
    <mergeCell ref="A59:D59"/>
    <mergeCell ref="H59:K59"/>
    <mergeCell ref="B60:D60"/>
    <mergeCell ref="I60:K60"/>
    <mergeCell ref="B61:B63"/>
    <mergeCell ref="H61:H63"/>
    <mergeCell ref="I61:I63"/>
    <mergeCell ref="B69:B71"/>
    <mergeCell ref="I69:I71"/>
    <mergeCell ref="A74:E74"/>
    <mergeCell ref="B65:D65"/>
    <mergeCell ref="I65:K65"/>
    <mergeCell ref="B66:B67"/>
    <mergeCell ref="I66:I67"/>
    <mergeCell ref="B68:D68"/>
    <mergeCell ref="I68:K68"/>
  </mergeCells>
  <printOptions horizontalCentered="1"/>
  <pageMargins left="0.19685039370078741" right="0.19685039370078741" top="3.937007874015748E-2" bottom="0" header="0.43307086614173229" footer="0.51181102362204722"/>
  <pageSetup paperSize="9" scale="63" orientation="landscape" r:id="rId1"/>
  <headerFooter alignWithMargins="0"/>
  <rowBreaks count="1" manualBreakCount="1">
    <brk id="4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</sheetPr>
  <dimension ref="A1:T74"/>
  <sheetViews>
    <sheetView tabSelected="1" topLeftCell="A52" zoomScaleNormal="100" workbookViewId="0">
      <selection activeCell="P56" sqref="P56"/>
    </sheetView>
  </sheetViews>
  <sheetFormatPr defaultColWidth="9.140625" defaultRowHeight="12.75" x14ac:dyDescent="0.2"/>
  <cols>
    <col min="1" max="1" width="5.5703125" style="20" customWidth="1"/>
    <col min="2" max="2" width="4.28515625" style="20" customWidth="1"/>
    <col min="3" max="3" width="3.7109375" style="3" customWidth="1"/>
    <col min="4" max="4" width="52.5703125" style="3" customWidth="1"/>
    <col min="5" max="5" width="16.7109375" style="5" customWidth="1"/>
    <col min="6" max="6" width="15.7109375" style="5" customWidth="1"/>
    <col min="7" max="7" width="16.7109375" style="5" customWidth="1"/>
    <col min="8" max="8" width="6.5703125" style="16" customWidth="1"/>
    <col min="9" max="9" width="4.28515625" style="16" customWidth="1"/>
    <col min="10" max="10" width="3.7109375" style="16" customWidth="1"/>
    <col min="11" max="11" width="53.140625" style="3" customWidth="1"/>
    <col min="12" max="12" width="16.7109375" style="3" customWidth="1"/>
    <col min="13" max="13" width="15.7109375" style="3" customWidth="1"/>
    <col min="14" max="14" width="16.7109375" style="5" customWidth="1"/>
    <col min="15" max="15" width="9.140625" style="3"/>
    <col min="16" max="16" width="11" style="3" bestFit="1" customWidth="1"/>
    <col min="17" max="16384" width="9.140625" style="3"/>
  </cols>
  <sheetData>
    <row r="1" spans="1:20" ht="14.25" x14ac:dyDescent="0.2">
      <c r="K1" s="391" t="s">
        <v>213</v>
      </c>
      <c r="L1" s="391"/>
      <c r="M1" s="391"/>
      <c r="N1" s="391"/>
      <c r="P1" s="58"/>
      <c r="Q1" s="58"/>
      <c r="R1" s="58"/>
      <c r="S1" s="58"/>
      <c r="T1" s="58"/>
    </row>
    <row r="2" spans="1:20" ht="14.25" x14ac:dyDescent="0.2">
      <c r="K2" s="391" t="s">
        <v>212</v>
      </c>
      <c r="L2" s="391"/>
      <c r="M2" s="391"/>
      <c r="N2" s="391"/>
      <c r="O2" s="58"/>
      <c r="P2" s="58"/>
      <c r="Q2" s="58"/>
      <c r="R2" s="58"/>
      <c r="S2" s="58"/>
      <c r="T2" s="58"/>
    </row>
    <row r="3" spans="1:20" ht="14.25" x14ac:dyDescent="0.2">
      <c r="K3" s="61"/>
      <c r="L3" s="61"/>
      <c r="M3" s="61"/>
      <c r="N3" s="61"/>
      <c r="O3" s="58"/>
      <c r="P3" s="58"/>
      <c r="Q3" s="58"/>
      <c r="R3" s="58"/>
      <c r="S3" s="58"/>
      <c r="T3" s="58"/>
    </row>
    <row r="4" spans="1:20" ht="15.95" customHeight="1" x14ac:dyDescent="0.25">
      <c r="A4" s="382" t="s">
        <v>220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" t="s">
        <v>40</v>
      </c>
    </row>
    <row r="5" spans="1:20" ht="15.95" customHeight="1" x14ac:dyDescent="0.25">
      <c r="A5" s="382" t="s">
        <v>27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</row>
    <row r="6" spans="1:20" ht="15.95" customHeight="1" x14ac:dyDescent="0.25">
      <c r="A6" s="382" t="s">
        <v>51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</row>
    <row r="7" spans="1:20" ht="15.95" customHeight="1" x14ac:dyDescent="0.25">
      <c r="A7" s="382" t="s">
        <v>221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</row>
    <row r="8" spans="1:20" ht="15.95" customHeight="1" x14ac:dyDescent="0.25">
      <c r="A8" s="382" t="s">
        <v>222</v>
      </c>
      <c r="B8" s="382"/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</row>
    <row r="9" spans="1:20" ht="15.95" customHeight="1" thickBot="1" x14ac:dyDescent="0.35">
      <c r="D9" s="383"/>
      <c r="E9" s="383"/>
      <c r="F9" s="383"/>
      <c r="G9" s="383"/>
      <c r="H9" s="383"/>
      <c r="I9" s="383"/>
      <c r="J9" s="383"/>
      <c r="K9" s="383"/>
      <c r="L9" s="60"/>
      <c r="M9" s="60"/>
      <c r="N9" s="14" t="s">
        <v>182</v>
      </c>
    </row>
    <row r="10" spans="1:20" s="6" customFormat="1" ht="21.95" customHeight="1" x14ac:dyDescent="0.2">
      <c r="A10" s="384" t="s">
        <v>49</v>
      </c>
      <c r="B10" s="385"/>
      <c r="C10" s="385"/>
      <c r="D10" s="385"/>
      <c r="E10" s="385"/>
      <c r="F10" s="140"/>
      <c r="G10" s="140"/>
      <c r="H10" s="384" t="s">
        <v>50</v>
      </c>
      <c r="I10" s="385"/>
      <c r="J10" s="385"/>
      <c r="K10" s="385"/>
      <c r="L10" s="385"/>
      <c r="M10" s="385"/>
      <c r="N10" s="386"/>
    </row>
    <row r="11" spans="1:20" s="6" customFormat="1" ht="41.25" customHeight="1" thickBot="1" x14ac:dyDescent="0.25">
      <c r="A11" s="141" t="s">
        <v>91</v>
      </c>
      <c r="B11" s="142" t="s">
        <v>92</v>
      </c>
      <c r="C11" s="387"/>
      <c r="D11" s="388"/>
      <c r="E11" s="143" t="s">
        <v>39</v>
      </c>
      <c r="F11" s="144" t="s">
        <v>151</v>
      </c>
      <c r="G11" s="144" t="s">
        <v>152</v>
      </c>
      <c r="H11" s="141" t="s">
        <v>91</v>
      </c>
      <c r="I11" s="142" t="s">
        <v>92</v>
      </c>
      <c r="J11" s="389"/>
      <c r="K11" s="390"/>
      <c r="L11" s="143" t="s">
        <v>39</v>
      </c>
      <c r="M11" s="144" t="s">
        <v>151</v>
      </c>
      <c r="N11" s="145" t="s">
        <v>152</v>
      </c>
    </row>
    <row r="12" spans="1:20" s="1" customFormat="1" ht="18" customHeight="1" x14ac:dyDescent="0.2">
      <c r="A12" s="351" t="s">
        <v>48</v>
      </c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3"/>
    </row>
    <row r="13" spans="1:20" s="2" customFormat="1" ht="18" customHeight="1" x14ac:dyDescent="0.2">
      <c r="A13" s="21" t="s">
        <v>0</v>
      </c>
      <c r="B13" s="354" t="s">
        <v>47</v>
      </c>
      <c r="C13" s="355"/>
      <c r="D13" s="356"/>
      <c r="E13" s="146">
        <f>E14+E18+E22+E26</f>
        <v>955119380</v>
      </c>
      <c r="F13" s="146">
        <f t="shared" ref="F13:G13" si="0">F14+F18+F22+F26</f>
        <v>-2948352</v>
      </c>
      <c r="G13" s="146">
        <f t="shared" si="0"/>
        <v>952171028</v>
      </c>
      <c r="H13" s="46" t="s">
        <v>0</v>
      </c>
      <c r="I13" s="379" t="s">
        <v>21</v>
      </c>
      <c r="J13" s="380"/>
      <c r="K13" s="381"/>
      <c r="L13" s="151">
        <f>L14+L18+L22+L30+L26</f>
        <v>948561199</v>
      </c>
      <c r="M13" s="151">
        <f t="shared" ref="M13:N13" si="1">M14+M18+M22+M30+M26</f>
        <v>126020167</v>
      </c>
      <c r="N13" s="153">
        <f t="shared" si="1"/>
        <v>1074581366</v>
      </c>
    </row>
    <row r="14" spans="1:20" s="1" customFormat="1" ht="18" customHeight="1" x14ac:dyDescent="0.2">
      <c r="A14" s="22"/>
      <c r="B14" s="340" t="s">
        <v>63</v>
      </c>
      <c r="C14" s="343" t="s">
        <v>54</v>
      </c>
      <c r="D14" s="344"/>
      <c r="E14" s="146">
        <f>E15+E16+E17</f>
        <v>856618347</v>
      </c>
      <c r="F14" s="146">
        <f t="shared" ref="F14:G14" si="2">F15+F16+F17</f>
        <v>-33900000</v>
      </c>
      <c r="G14" s="146">
        <f t="shared" si="2"/>
        <v>822718347</v>
      </c>
      <c r="H14" s="18"/>
      <c r="I14" s="345" t="s">
        <v>58</v>
      </c>
      <c r="J14" s="363" t="s">
        <v>17</v>
      </c>
      <c r="K14" s="363"/>
      <c r="L14" s="146">
        <f>L15+L16+L17</f>
        <v>157814039</v>
      </c>
      <c r="M14" s="146">
        <f t="shared" ref="M14:N14" si="3">M15+M16+M17</f>
        <v>38500000</v>
      </c>
      <c r="N14" s="154">
        <f t="shared" si="3"/>
        <v>196314039</v>
      </c>
    </row>
    <row r="15" spans="1:20" s="1" customFormat="1" ht="18" customHeight="1" x14ac:dyDescent="0.2">
      <c r="A15" s="22"/>
      <c r="B15" s="341"/>
      <c r="C15" s="24" t="s">
        <v>1</v>
      </c>
      <c r="D15" s="25" t="s">
        <v>10</v>
      </c>
      <c r="E15" s="148">
        <v>856618347</v>
      </c>
      <c r="F15" s="149">
        <v>-33900000</v>
      </c>
      <c r="G15" s="150">
        <f>+F15+E15</f>
        <v>822718347</v>
      </c>
      <c r="H15" s="18"/>
      <c r="I15" s="346"/>
      <c r="J15" s="24" t="s">
        <v>1</v>
      </c>
      <c r="K15" s="25" t="s">
        <v>10</v>
      </c>
      <c r="L15" s="148">
        <v>157714039</v>
      </c>
      <c r="M15" s="155">
        <f>2500000+6000000+30000000</f>
        <v>38500000</v>
      </c>
      <c r="N15" s="150">
        <f>+M15+L15</f>
        <v>196214039</v>
      </c>
    </row>
    <row r="16" spans="1:20" s="1" customFormat="1" ht="18" customHeight="1" x14ac:dyDescent="0.2">
      <c r="A16" s="22"/>
      <c r="B16" s="341"/>
      <c r="C16" s="24" t="s">
        <v>2</v>
      </c>
      <c r="D16" s="25" t="s">
        <v>13</v>
      </c>
      <c r="E16" s="148">
        <v>0</v>
      </c>
      <c r="F16" s="149">
        <v>0</v>
      </c>
      <c r="G16" s="150">
        <f t="shared" ref="G16:G25" si="4">+F16+E16</f>
        <v>0</v>
      </c>
      <c r="H16" s="18"/>
      <c r="I16" s="346"/>
      <c r="J16" s="24" t="s">
        <v>2</v>
      </c>
      <c r="K16" s="25" t="s">
        <v>13</v>
      </c>
      <c r="L16" s="148">
        <v>100000</v>
      </c>
      <c r="M16" s="155">
        <v>0</v>
      </c>
      <c r="N16" s="150">
        <f t="shared" ref="N16:N17" si="5">+M16+L16</f>
        <v>100000</v>
      </c>
    </row>
    <row r="17" spans="1:16" s="1" customFormat="1" ht="18" customHeight="1" x14ac:dyDescent="0.2">
      <c r="A17" s="22"/>
      <c r="B17" s="342"/>
      <c r="C17" s="24" t="s">
        <v>4</v>
      </c>
      <c r="D17" s="25" t="s">
        <v>12</v>
      </c>
      <c r="E17" s="148">
        <v>0</v>
      </c>
      <c r="F17" s="149">
        <v>0</v>
      </c>
      <c r="G17" s="150">
        <f t="shared" si="4"/>
        <v>0</v>
      </c>
      <c r="H17" s="18"/>
      <c r="I17" s="347"/>
      <c r="J17" s="24" t="s">
        <v>4</v>
      </c>
      <c r="K17" s="25" t="s">
        <v>12</v>
      </c>
      <c r="L17" s="148">
        <v>0</v>
      </c>
      <c r="M17" s="155">
        <v>0</v>
      </c>
      <c r="N17" s="150">
        <f t="shared" si="5"/>
        <v>0</v>
      </c>
    </row>
    <row r="18" spans="1:16" s="1" customFormat="1" ht="18" customHeight="1" x14ac:dyDescent="0.2">
      <c r="A18" s="22"/>
      <c r="B18" s="340" t="s">
        <v>76</v>
      </c>
      <c r="C18" s="343" t="s">
        <v>6</v>
      </c>
      <c r="D18" s="344"/>
      <c r="E18" s="146">
        <f>E19+E20+E21</f>
        <v>0</v>
      </c>
      <c r="F18" s="146">
        <f t="shared" ref="F18:G18" si="6">F19+F20+F21</f>
        <v>0</v>
      </c>
      <c r="G18" s="146">
        <f t="shared" si="6"/>
        <v>0</v>
      </c>
      <c r="H18" s="18"/>
      <c r="I18" s="345" t="s">
        <v>59</v>
      </c>
      <c r="J18" s="350" t="s">
        <v>20</v>
      </c>
      <c r="K18" s="350"/>
      <c r="L18" s="146">
        <f>L19+L20+L21</f>
        <v>19742358</v>
      </c>
      <c r="M18" s="146">
        <f>M19+M20+M21</f>
        <v>476848</v>
      </c>
      <c r="N18" s="154">
        <f>N19+N20+N21</f>
        <v>20219206</v>
      </c>
    </row>
    <row r="19" spans="1:16" s="1" customFormat="1" ht="18" customHeight="1" x14ac:dyDescent="0.2">
      <c r="A19" s="22"/>
      <c r="B19" s="341"/>
      <c r="C19" s="24" t="s">
        <v>1</v>
      </c>
      <c r="D19" s="25" t="s">
        <v>10</v>
      </c>
      <c r="E19" s="148">
        <v>0</v>
      </c>
      <c r="F19" s="149">
        <v>0</v>
      </c>
      <c r="G19" s="150">
        <f t="shared" si="4"/>
        <v>0</v>
      </c>
      <c r="H19" s="18"/>
      <c r="I19" s="346"/>
      <c r="J19" s="24" t="s">
        <v>1</v>
      </c>
      <c r="K19" s="25" t="s">
        <v>10</v>
      </c>
      <c r="L19" s="148">
        <v>19729358</v>
      </c>
      <c r="M19" s="155">
        <f>476848</f>
        <v>476848</v>
      </c>
      <c r="N19" s="150">
        <f>+M19+L19</f>
        <v>20206206</v>
      </c>
    </row>
    <row r="20" spans="1:16" s="1" customFormat="1" ht="18" customHeight="1" x14ac:dyDescent="0.2">
      <c r="A20" s="22"/>
      <c r="B20" s="341"/>
      <c r="C20" s="24" t="s">
        <v>2</v>
      </c>
      <c r="D20" s="25" t="s">
        <v>13</v>
      </c>
      <c r="E20" s="148">
        <v>0</v>
      </c>
      <c r="F20" s="149">
        <v>0</v>
      </c>
      <c r="G20" s="150">
        <f t="shared" si="4"/>
        <v>0</v>
      </c>
      <c r="H20" s="18"/>
      <c r="I20" s="346"/>
      <c r="J20" s="24" t="s">
        <v>2</v>
      </c>
      <c r="K20" s="25" t="s">
        <v>13</v>
      </c>
      <c r="L20" s="148">
        <v>13000</v>
      </c>
      <c r="M20" s="155">
        <v>0</v>
      </c>
      <c r="N20" s="150">
        <f t="shared" ref="N20:N21" si="7">+M20+L20</f>
        <v>13000</v>
      </c>
    </row>
    <row r="21" spans="1:16" s="1" customFormat="1" ht="18" customHeight="1" x14ac:dyDescent="0.2">
      <c r="A21" s="22"/>
      <c r="B21" s="342"/>
      <c r="C21" s="24" t="s">
        <v>4</v>
      </c>
      <c r="D21" s="25" t="s">
        <v>12</v>
      </c>
      <c r="E21" s="148">
        <v>0</v>
      </c>
      <c r="F21" s="149">
        <v>0</v>
      </c>
      <c r="G21" s="150">
        <f t="shared" si="4"/>
        <v>0</v>
      </c>
      <c r="H21" s="18"/>
      <c r="I21" s="347"/>
      <c r="J21" s="24" t="s">
        <v>4</v>
      </c>
      <c r="K21" s="25" t="s">
        <v>12</v>
      </c>
      <c r="L21" s="148">
        <v>0</v>
      </c>
      <c r="M21" s="155">
        <v>0</v>
      </c>
      <c r="N21" s="150">
        <f t="shared" si="7"/>
        <v>0</v>
      </c>
    </row>
    <row r="22" spans="1:16" s="1" customFormat="1" ht="18" customHeight="1" x14ac:dyDescent="0.2">
      <c r="A22" s="22"/>
      <c r="B22" s="340" t="s">
        <v>77</v>
      </c>
      <c r="C22" s="343" t="s">
        <v>38</v>
      </c>
      <c r="D22" s="344"/>
      <c r="E22" s="146">
        <f>E23+E24+E25</f>
        <v>0</v>
      </c>
      <c r="F22" s="146">
        <f t="shared" ref="F22:G22" si="8">F23+F24+F25</f>
        <v>0</v>
      </c>
      <c r="G22" s="146">
        <f t="shared" si="8"/>
        <v>0</v>
      </c>
      <c r="H22" s="18"/>
      <c r="I22" s="345" t="s">
        <v>60</v>
      </c>
      <c r="J22" s="350" t="s">
        <v>35</v>
      </c>
      <c r="K22" s="350"/>
      <c r="L22" s="146">
        <f>L23+L24+L25</f>
        <v>654024866</v>
      </c>
      <c r="M22" s="146">
        <f t="shared" ref="M22:N22" si="9">M23+M24+M25</f>
        <v>-37614500</v>
      </c>
      <c r="N22" s="154">
        <f t="shared" si="9"/>
        <v>616410366</v>
      </c>
    </row>
    <row r="23" spans="1:16" s="1" customFormat="1" ht="18" customHeight="1" x14ac:dyDescent="0.2">
      <c r="A23" s="22"/>
      <c r="B23" s="341"/>
      <c r="C23" s="24" t="s">
        <v>1</v>
      </c>
      <c r="D23" s="25" t="s">
        <v>10</v>
      </c>
      <c r="E23" s="148">
        <v>0</v>
      </c>
      <c r="F23" s="149">
        <v>0</v>
      </c>
      <c r="G23" s="150">
        <f t="shared" si="4"/>
        <v>0</v>
      </c>
      <c r="H23" s="18"/>
      <c r="I23" s="346"/>
      <c r="J23" s="24" t="s">
        <v>1</v>
      </c>
      <c r="K23" s="25" t="s">
        <v>10</v>
      </c>
      <c r="L23" s="148">
        <v>652870366</v>
      </c>
      <c r="M23" s="155">
        <f>1000000-2190750-6000000-423750-30000000</f>
        <v>-37614500</v>
      </c>
      <c r="N23" s="150">
        <f>+M23+L23</f>
        <v>615255866</v>
      </c>
    </row>
    <row r="24" spans="1:16" s="1" customFormat="1" ht="18" customHeight="1" x14ac:dyDescent="0.2">
      <c r="A24" s="22"/>
      <c r="B24" s="341"/>
      <c r="C24" s="24" t="s">
        <v>2</v>
      </c>
      <c r="D24" s="25" t="s">
        <v>13</v>
      </c>
      <c r="E24" s="148">
        <v>0</v>
      </c>
      <c r="F24" s="149">
        <v>0</v>
      </c>
      <c r="G24" s="150">
        <f t="shared" si="4"/>
        <v>0</v>
      </c>
      <c r="H24" s="18"/>
      <c r="I24" s="346"/>
      <c r="J24" s="24" t="s">
        <v>2</v>
      </c>
      <c r="K24" s="25" t="s">
        <v>13</v>
      </c>
      <c r="L24" s="148">
        <v>1154500</v>
      </c>
      <c r="M24" s="155">
        <v>0</v>
      </c>
      <c r="N24" s="150">
        <f t="shared" ref="N24:N35" si="10">+M24+L24</f>
        <v>1154500</v>
      </c>
    </row>
    <row r="25" spans="1:16" s="1" customFormat="1" ht="18" customHeight="1" x14ac:dyDescent="0.2">
      <c r="A25" s="22"/>
      <c r="B25" s="342"/>
      <c r="C25" s="24" t="s">
        <v>4</v>
      </c>
      <c r="D25" s="25" t="s">
        <v>12</v>
      </c>
      <c r="E25" s="148">
        <v>0</v>
      </c>
      <c r="F25" s="149">
        <v>0</v>
      </c>
      <c r="G25" s="150">
        <f t="shared" si="4"/>
        <v>0</v>
      </c>
      <c r="H25" s="18"/>
      <c r="I25" s="347"/>
      <c r="J25" s="24" t="s">
        <v>4</v>
      </c>
      <c r="K25" s="25" t="s">
        <v>12</v>
      </c>
      <c r="L25" s="148">
        <v>0</v>
      </c>
      <c r="M25" s="155">
        <v>0</v>
      </c>
      <c r="N25" s="150">
        <f t="shared" si="10"/>
        <v>0</v>
      </c>
    </row>
    <row r="26" spans="1:16" s="1" customFormat="1" ht="18" customHeight="1" x14ac:dyDescent="0.2">
      <c r="A26" s="22"/>
      <c r="B26" s="340" t="s">
        <v>79</v>
      </c>
      <c r="C26" s="348" t="s">
        <v>53</v>
      </c>
      <c r="D26" s="349"/>
      <c r="E26" s="146">
        <f>E27+E28+E29</f>
        <v>98501033</v>
      </c>
      <c r="F26" s="146">
        <f t="shared" ref="F26:G26" si="11">F27+F28+F29</f>
        <v>30951648</v>
      </c>
      <c r="G26" s="146">
        <f t="shared" si="11"/>
        <v>129452681</v>
      </c>
      <c r="H26" s="18"/>
      <c r="I26" s="345" t="s">
        <v>61</v>
      </c>
      <c r="J26" s="363" t="s">
        <v>8</v>
      </c>
      <c r="K26" s="363"/>
      <c r="L26" s="146">
        <f>L27+L28+L29</f>
        <v>0</v>
      </c>
      <c r="M26" s="146">
        <f t="shared" ref="M26:N26" si="12">M27+M28+M29</f>
        <v>0</v>
      </c>
      <c r="N26" s="154">
        <f t="shared" si="12"/>
        <v>0</v>
      </c>
    </row>
    <row r="27" spans="1:16" s="1" customFormat="1" ht="18" customHeight="1" x14ac:dyDescent="0.2">
      <c r="A27" s="22"/>
      <c r="B27" s="341"/>
      <c r="C27" s="24" t="s">
        <v>1</v>
      </c>
      <c r="D27" s="25" t="s">
        <v>10</v>
      </c>
      <c r="E27" s="148">
        <v>98501033</v>
      </c>
      <c r="F27" s="149">
        <f>20361680+5939655+4650313</f>
        <v>30951648</v>
      </c>
      <c r="G27" s="150">
        <f>+F27+E27</f>
        <v>129452681</v>
      </c>
      <c r="H27" s="18"/>
      <c r="I27" s="346"/>
      <c r="J27" s="24" t="s">
        <v>1</v>
      </c>
      <c r="K27" s="25" t="s">
        <v>10</v>
      </c>
      <c r="L27" s="148">
        <v>0</v>
      </c>
      <c r="M27" s="155">
        <v>0</v>
      </c>
      <c r="N27" s="150">
        <f t="shared" si="10"/>
        <v>0</v>
      </c>
    </row>
    <row r="28" spans="1:16" s="1" customFormat="1" ht="18" customHeight="1" x14ac:dyDescent="0.2">
      <c r="A28" s="22"/>
      <c r="B28" s="341"/>
      <c r="C28" s="24" t="s">
        <v>2</v>
      </c>
      <c r="D28" s="25" t="s">
        <v>13</v>
      </c>
      <c r="E28" s="148">
        <v>0</v>
      </c>
      <c r="F28" s="149">
        <v>0</v>
      </c>
      <c r="G28" s="150">
        <f t="shared" ref="G28:G29" si="13">+F28+E28</f>
        <v>0</v>
      </c>
      <c r="H28" s="18"/>
      <c r="I28" s="346"/>
      <c r="J28" s="24" t="s">
        <v>2</v>
      </c>
      <c r="K28" s="25" t="s">
        <v>13</v>
      </c>
      <c r="L28" s="148">
        <v>0</v>
      </c>
      <c r="M28" s="155">
        <v>0</v>
      </c>
      <c r="N28" s="150">
        <f t="shared" si="10"/>
        <v>0</v>
      </c>
    </row>
    <row r="29" spans="1:16" s="1" customFormat="1" ht="18" customHeight="1" x14ac:dyDescent="0.2">
      <c r="A29" s="23"/>
      <c r="B29" s="342"/>
      <c r="C29" s="24" t="s">
        <v>4</v>
      </c>
      <c r="D29" s="25" t="s">
        <v>12</v>
      </c>
      <c r="E29" s="148">
        <v>0</v>
      </c>
      <c r="F29" s="149">
        <v>0</v>
      </c>
      <c r="G29" s="150">
        <f t="shared" si="13"/>
        <v>0</v>
      </c>
      <c r="H29" s="18"/>
      <c r="I29" s="347"/>
      <c r="J29" s="24" t="s">
        <v>4</v>
      </c>
      <c r="K29" s="25" t="s">
        <v>12</v>
      </c>
      <c r="L29" s="148">
        <v>0</v>
      </c>
      <c r="M29" s="155">
        <v>0</v>
      </c>
      <c r="N29" s="150">
        <f t="shared" si="10"/>
        <v>0</v>
      </c>
    </row>
    <row r="30" spans="1:16" s="1" customFormat="1" ht="18" customHeight="1" x14ac:dyDescent="0.2">
      <c r="A30" s="364"/>
      <c r="B30" s="365"/>
      <c r="C30" s="365"/>
      <c r="D30" s="365"/>
      <c r="E30" s="365"/>
      <c r="F30" s="365"/>
      <c r="G30" s="366"/>
      <c r="H30" s="18"/>
      <c r="I30" s="345" t="s">
        <v>62</v>
      </c>
      <c r="J30" s="350" t="s">
        <v>14</v>
      </c>
      <c r="K30" s="350"/>
      <c r="L30" s="146">
        <f>L31+L34+L35</f>
        <v>116979936</v>
      </c>
      <c r="M30" s="146">
        <f t="shared" ref="M30:N30" si="14">M31+M34+M35</f>
        <v>124657819</v>
      </c>
      <c r="N30" s="154">
        <f t="shared" si="14"/>
        <v>241637755</v>
      </c>
    </row>
    <row r="31" spans="1:16" s="1" customFormat="1" ht="18" customHeight="1" x14ac:dyDescent="0.2">
      <c r="A31" s="367"/>
      <c r="B31" s="368"/>
      <c r="C31" s="368"/>
      <c r="D31" s="368"/>
      <c r="E31" s="368"/>
      <c r="F31" s="368"/>
      <c r="G31" s="369"/>
      <c r="H31" s="18"/>
      <c r="I31" s="346"/>
      <c r="J31" s="24" t="s">
        <v>1</v>
      </c>
      <c r="K31" s="25" t="s">
        <v>10</v>
      </c>
      <c r="L31" s="148">
        <v>112979936</v>
      </c>
      <c r="M31" s="247">
        <f>M32+M33+175200+2674</f>
        <v>122557819</v>
      </c>
      <c r="N31" s="150">
        <f t="shared" si="10"/>
        <v>235537755</v>
      </c>
      <c r="O31" s="50"/>
      <c r="P31" s="50"/>
    </row>
    <row r="32" spans="1:16" s="1" customFormat="1" ht="18" customHeight="1" x14ac:dyDescent="0.2">
      <c r="A32" s="367"/>
      <c r="B32" s="368"/>
      <c r="C32" s="368"/>
      <c r="D32" s="368"/>
      <c r="E32" s="368"/>
      <c r="F32" s="368"/>
      <c r="G32" s="369"/>
      <c r="H32" s="18"/>
      <c r="I32" s="346"/>
      <c r="J32" s="41" t="s">
        <v>94</v>
      </c>
      <c r="K32" s="42" t="s">
        <v>96</v>
      </c>
      <c r="L32" s="156">
        <v>2000000</v>
      </c>
      <c r="M32" s="248">
        <f>18928297+20361680+5939655+4650313</f>
        <v>49879945</v>
      </c>
      <c r="N32" s="197">
        <f t="shared" si="10"/>
        <v>51879945</v>
      </c>
      <c r="O32" s="50"/>
      <c r="P32" s="50"/>
    </row>
    <row r="33" spans="1:16" s="1" customFormat="1" ht="18" customHeight="1" x14ac:dyDescent="0.2">
      <c r="A33" s="367"/>
      <c r="B33" s="368"/>
      <c r="C33" s="368"/>
      <c r="D33" s="368"/>
      <c r="E33" s="368"/>
      <c r="F33" s="368"/>
      <c r="G33" s="369"/>
      <c r="H33" s="18"/>
      <c r="I33" s="346"/>
      <c r="J33" s="41" t="s">
        <v>95</v>
      </c>
      <c r="K33" s="42" t="s">
        <v>97</v>
      </c>
      <c r="L33" s="156">
        <v>30000000</v>
      </c>
      <c r="M33" s="248">
        <f>72500000</f>
        <v>72500000</v>
      </c>
      <c r="N33" s="197">
        <f t="shared" si="10"/>
        <v>102500000</v>
      </c>
    </row>
    <row r="34" spans="1:16" s="1" customFormat="1" ht="18" customHeight="1" x14ac:dyDescent="0.2">
      <c r="A34" s="367"/>
      <c r="B34" s="368"/>
      <c r="C34" s="368"/>
      <c r="D34" s="368"/>
      <c r="E34" s="368"/>
      <c r="F34" s="368"/>
      <c r="G34" s="369"/>
      <c r="H34" s="18"/>
      <c r="I34" s="346"/>
      <c r="J34" s="24" t="s">
        <v>2</v>
      </c>
      <c r="K34" s="25" t="s">
        <v>13</v>
      </c>
      <c r="L34" s="148">
        <v>4000000</v>
      </c>
      <c r="M34" s="247">
        <f>2000000+100000</f>
        <v>2100000</v>
      </c>
      <c r="N34" s="150">
        <f t="shared" si="10"/>
        <v>6100000</v>
      </c>
      <c r="P34" s="50"/>
    </row>
    <row r="35" spans="1:16" s="1" customFormat="1" ht="18" customHeight="1" x14ac:dyDescent="0.2">
      <c r="A35" s="370"/>
      <c r="B35" s="371"/>
      <c r="C35" s="371"/>
      <c r="D35" s="371"/>
      <c r="E35" s="371"/>
      <c r="F35" s="371"/>
      <c r="G35" s="372"/>
      <c r="H35" s="17"/>
      <c r="I35" s="347"/>
      <c r="J35" s="24" t="s">
        <v>4</v>
      </c>
      <c r="K35" s="25" t="s">
        <v>12</v>
      </c>
      <c r="L35" s="148">
        <v>0</v>
      </c>
      <c r="M35" s="155">
        <v>0</v>
      </c>
      <c r="N35" s="150">
        <f t="shared" si="10"/>
        <v>0</v>
      </c>
    </row>
    <row r="36" spans="1:16" s="1" customFormat="1" ht="18" customHeight="1" x14ac:dyDescent="0.2">
      <c r="A36" s="43" t="s">
        <v>0</v>
      </c>
      <c r="B36" s="329" t="s">
        <v>23</v>
      </c>
      <c r="C36" s="330"/>
      <c r="D36" s="331"/>
      <c r="E36" s="165">
        <f>+E37+E38+E39</f>
        <v>955119380</v>
      </c>
      <c r="F36" s="165">
        <f t="shared" ref="F36:G36" si="15">+F37+F38+F39</f>
        <v>-2948352</v>
      </c>
      <c r="G36" s="165">
        <f t="shared" si="15"/>
        <v>952171028</v>
      </c>
      <c r="H36" s="44" t="s">
        <v>0</v>
      </c>
      <c r="I36" s="373" t="s">
        <v>18</v>
      </c>
      <c r="J36" s="374"/>
      <c r="K36" s="374"/>
      <c r="L36" s="159">
        <f>+L37+L38+L39</f>
        <v>948561199</v>
      </c>
      <c r="M36" s="159">
        <f t="shared" ref="M36:N36" si="16">+M37+M38+M39</f>
        <v>126020167</v>
      </c>
      <c r="N36" s="160">
        <f t="shared" si="16"/>
        <v>1074581366</v>
      </c>
    </row>
    <row r="37" spans="1:16" s="1" customFormat="1" ht="18" customHeight="1" x14ac:dyDescent="0.2">
      <c r="A37" s="30"/>
      <c r="B37" s="375" t="s">
        <v>82</v>
      </c>
      <c r="C37" s="31" t="s">
        <v>1</v>
      </c>
      <c r="D37" s="32" t="s">
        <v>10</v>
      </c>
      <c r="E37" s="161">
        <f t="shared" ref="E37:G39" si="17">+E27+E23+E19+E15</f>
        <v>955119380</v>
      </c>
      <c r="F37" s="161">
        <f t="shared" si="17"/>
        <v>-2948352</v>
      </c>
      <c r="G37" s="161">
        <f t="shared" si="17"/>
        <v>952171028</v>
      </c>
      <c r="H37" s="337"/>
      <c r="I37" s="378" t="s">
        <v>81</v>
      </c>
      <c r="J37" s="31" t="s">
        <v>1</v>
      </c>
      <c r="K37" s="32" t="s">
        <v>10</v>
      </c>
      <c r="L37" s="161">
        <f>+L31+L27+L23+L19+L15</f>
        <v>943293699</v>
      </c>
      <c r="M37" s="161">
        <f t="shared" ref="M37:N37" si="18">+M31+M27+M23+M19+M15</f>
        <v>123920167</v>
      </c>
      <c r="N37" s="162">
        <f t="shared" si="18"/>
        <v>1067213866</v>
      </c>
    </row>
    <row r="38" spans="1:16" s="1" customFormat="1" ht="18" customHeight="1" x14ac:dyDescent="0.2">
      <c r="A38" s="30"/>
      <c r="B38" s="376"/>
      <c r="C38" s="31" t="s">
        <v>2</v>
      </c>
      <c r="D38" s="32" t="s">
        <v>13</v>
      </c>
      <c r="E38" s="161">
        <f t="shared" si="17"/>
        <v>0</v>
      </c>
      <c r="F38" s="161">
        <f t="shared" si="17"/>
        <v>0</v>
      </c>
      <c r="G38" s="161">
        <f t="shared" si="17"/>
        <v>0</v>
      </c>
      <c r="H38" s="337"/>
      <c r="I38" s="378"/>
      <c r="J38" s="31" t="s">
        <v>2</v>
      </c>
      <c r="K38" s="32" t="s">
        <v>13</v>
      </c>
      <c r="L38" s="161">
        <f>+L34+L28+L24+L20+L16</f>
        <v>5267500</v>
      </c>
      <c r="M38" s="161">
        <f t="shared" ref="M38:N38" si="19">+M34+M28+M24+M20+M16</f>
        <v>2100000</v>
      </c>
      <c r="N38" s="162">
        <f t="shared" si="19"/>
        <v>7367500</v>
      </c>
    </row>
    <row r="39" spans="1:16" s="1" customFormat="1" ht="18" customHeight="1" x14ac:dyDescent="0.2">
      <c r="A39" s="33"/>
      <c r="B39" s="377"/>
      <c r="C39" s="31" t="s">
        <v>4</v>
      </c>
      <c r="D39" s="32" t="s">
        <v>12</v>
      </c>
      <c r="E39" s="161">
        <f t="shared" si="17"/>
        <v>0</v>
      </c>
      <c r="F39" s="161">
        <f t="shared" si="17"/>
        <v>0</v>
      </c>
      <c r="G39" s="161">
        <f t="shared" si="17"/>
        <v>0</v>
      </c>
      <c r="H39" s="338"/>
      <c r="I39" s="378"/>
      <c r="J39" s="31" t="s">
        <v>4</v>
      </c>
      <c r="K39" s="32" t="s">
        <v>12</v>
      </c>
      <c r="L39" s="163">
        <f t="shared" ref="L39" si="20">+L35+L29+L25+L21+L17</f>
        <v>0</v>
      </c>
      <c r="M39" s="163">
        <f t="shared" ref="M39:N39" si="21">+M35+M29+M25+M21+M17</f>
        <v>0</v>
      </c>
      <c r="N39" s="164">
        <f t="shared" si="21"/>
        <v>0</v>
      </c>
    </row>
    <row r="40" spans="1:16" s="49" customFormat="1" ht="30.75" customHeight="1" thickBot="1" x14ac:dyDescent="0.25">
      <c r="A40" s="360" t="s">
        <v>98</v>
      </c>
      <c r="B40" s="361"/>
      <c r="C40" s="361"/>
      <c r="D40" s="362"/>
      <c r="E40" s="172">
        <v>0</v>
      </c>
      <c r="F40" s="172">
        <f>M36-F36</f>
        <v>128968519</v>
      </c>
      <c r="G40" s="199">
        <f>N36-G36</f>
        <v>122410338</v>
      </c>
      <c r="H40" s="360" t="s">
        <v>99</v>
      </c>
      <c r="I40" s="361"/>
      <c r="J40" s="361"/>
      <c r="K40" s="362"/>
      <c r="L40" s="172">
        <f>E36-L36</f>
        <v>6558181</v>
      </c>
      <c r="M40" s="172"/>
      <c r="N40" s="198"/>
    </row>
    <row r="41" spans="1:16" s="1" customFormat="1" ht="18" customHeight="1" x14ac:dyDescent="0.2">
      <c r="A41" s="351" t="s">
        <v>52</v>
      </c>
      <c r="B41" s="352"/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353"/>
    </row>
    <row r="42" spans="1:16" s="1" customFormat="1" ht="18" customHeight="1" x14ac:dyDescent="0.2">
      <c r="A42" s="21" t="s">
        <v>3</v>
      </c>
      <c r="B42" s="354" t="s">
        <v>24</v>
      </c>
      <c r="C42" s="355"/>
      <c r="D42" s="356"/>
      <c r="E42" s="146">
        <f>E43+E47+E51</f>
        <v>2664000</v>
      </c>
      <c r="F42" s="146">
        <f t="shared" ref="F42:G42" si="22">F43+F47+F51</f>
        <v>0</v>
      </c>
      <c r="G42" s="146">
        <f t="shared" si="22"/>
        <v>2664000</v>
      </c>
      <c r="H42" s="19" t="s">
        <v>3</v>
      </c>
      <c r="I42" s="357" t="s">
        <v>22</v>
      </c>
      <c r="J42" s="358"/>
      <c r="K42" s="359"/>
      <c r="L42" s="151">
        <f>L43+L47+L51</f>
        <v>206900276</v>
      </c>
      <c r="M42" s="152">
        <f t="shared" ref="M42:N42" si="23">M43+M47+M51</f>
        <v>33690750</v>
      </c>
      <c r="N42" s="153">
        <f t="shared" si="23"/>
        <v>240591026</v>
      </c>
    </row>
    <row r="43" spans="1:16" s="1" customFormat="1" ht="18" customHeight="1" x14ac:dyDescent="0.2">
      <c r="A43" s="22"/>
      <c r="B43" s="340" t="s">
        <v>75</v>
      </c>
      <c r="C43" s="343" t="s">
        <v>56</v>
      </c>
      <c r="D43" s="344"/>
      <c r="E43" s="146">
        <f>E44+E45+E46</f>
        <v>0</v>
      </c>
      <c r="F43" s="146">
        <f t="shared" ref="F43:G43" si="24">F44+F45+F46</f>
        <v>0</v>
      </c>
      <c r="G43" s="146">
        <f t="shared" si="24"/>
        <v>0</v>
      </c>
      <c r="H43" s="18"/>
      <c r="I43" s="345" t="s">
        <v>64</v>
      </c>
      <c r="J43" s="348" t="s">
        <v>15</v>
      </c>
      <c r="K43" s="349"/>
      <c r="L43" s="146">
        <f>L44+L45+L46</f>
        <v>206900276</v>
      </c>
      <c r="M43" s="147">
        <f t="shared" ref="M43:N43" si="25">M44+M45+M46</f>
        <v>31500000</v>
      </c>
      <c r="N43" s="154">
        <f t="shared" si="25"/>
        <v>238400276</v>
      </c>
    </row>
    <row r="44" spans="1:16" s="1" customFormat="1" ht="18" customHeight="1" x14ac:dyDescent="0.2">
      <c r="A44" s="22"/>
      <c r="B44" s="341"/>
      <c r="C44" s="24" t="s">
        <v>1</v>
      </c>
      <c r="D44" s="25" t="s">
        <v>10</v>
      </c>
      <c r="E44" s="148">
        <v>0</v>
      </c>
      <c r="F44" s="149">
        <v>0</v>
      </c>
      <c r="G44" s="150">
        <f>+F44+E44</f>
        <v>0</v>
      </c>
      <c r="H44" s="18"/>
      <c r="I44" s="346"/>
      <c r="J44" s="24" t="s">
        <v>1</v>
      </c>
      <c r="K44" s="25" t="s">
        <v>10</v>
      </c>
      <c r="L44" s="148">
        <v>206900276</v>
      </c>
      <c r="M44" s="155">
        <f>1500000+30000000+423750-423750</f>
        <v>31500000</v>
      </c>
      <c r="N44" s="150">
        <f>+M44+L44</f>
        <v>238400276</v>
      </c>
    </row>
    <row r="45" spans="1:16" s="1" customFormat="1" ht="18" customHeight="1" x14ac:dyDescent="0.2">
      <c r="A45" s="22"/>
      <c r="B45" s="341"/>
      <c r="C45" s="24" t="s">
        <v>2</v>
      </c>
      <c r="D45" s="25" t="s">
        <v>13</v>
      </c>
      <c r="E45" s="148">
        <v>0</v>
      </c>
      <c r="F45" s="149">
        <v>0</v>
      </c>
      <c r="G45" s="150">
        <f t="shared" ref="G45:G46" si="26">+F45+E45</f>
        <v>0</v>
      </c>
      <c r="H45" s="18"/>
      <c r="I45" s="346"/>
      <c r="J45" s="24" t="s">
        <v>2</v>
      </c>
      <c r="K45" s="25" t="s">
        <v>13</v>
      </c>
      <c r="L45" s="148">
        <v>0</v>
      </c>
      <c r="M45" s="155">
        <v>0</v>
      </c>
      <c r="N45" s="150">
        <f t="shared" ref="N45:N46" si="27">+M45+L45</f>
        <v>0</v>
      </c>
    </row>
    <row r="46" spans="1:16" s="1" customFormat="1" ht="18" customHeight="1" x14ac:dyDescent="0.2">
      <c r="A46" s="22"/>
      <c r="B46" s="342"/>
      <c r="C46" s="24" t="s">
        <v>4</v>
      </c>
      <c r="D46" s="25" t="s">
        <v>12</v>
      </c>
      <c r="E46" s="148">
        <v>0</v>
      </c>
      <c r="F46" s="149">
        <v>0</v>
      </c>
      <c r="G46" s="150">
        <f t="shared" si="26"/>
        <v>0</v>
      </c>
      <c r="H46" s="18"/>
      <c r="I46" s="347"/>
      <c r="J46" s="24" t="s">
        <v>4</v>
      </c>
      <c r="K46" s="25" t="s">
        <v>12</v>
      </c>
      <c r="L46" s="148">
        <v>0</v>
      </c>
      <c r="M46" s="155">
        <v>0</v>
      </c>
      <c r="N46" s="150">
        <f t="shared" si="27"/>
        <v>0</v>
      </c>
    </row>
    <row r="47" spans="1:16" s="1" customFormat="1" ht="18" customHeight="1" x14ac:dyDescent="0.2">
      <c r="A47" s="22"/>
      <c r="B47" s="340" t="s">
        <v>78</v>
      </c>
      <c r="C47" s="343" t="s">
        <v>25</v>
      </c>
      <c r="D47" s="344"/>
      <c r="E47" s="146">
        <f>E48+E49+E50</f>
        <v>0</v>
      </c>
      <c r="F47" s="146">
        <f t="shared" ref="F47:G47" si="28">F48+F49+F50</f>
        <v>0</v>
      </c>
      <c r="G47" s="146">
        <f t="shared" si="28"/>
        <v>0</v>
      </c>
      <c r="H47" s="18"/>
      <c r="I47" s="345" t="s">
        <v>65</v>
      </c>
      <c r="J47" s="343" t="s">
        <v>16</v>
      </c>
      <c r="K47" s="344"/>
      <c r="L47" s="146">
        <f>L48+L49+L50</f>
        <v>0</v>
      </c>
      <c r="M47" s="146">
        <f t="shared" ref="M47:N47" si="29">M48+M49+M50</f>
        <v>2190750</v>
      </c>
      <c r="N47" s="154">
        <f t="shared" si="29"/>
        <v>2190750</v>
      </c>
    </row>
    <row r="48" spans="1:16" s="1" customFormat="1" ht="18" customHeight="1" x14ac:dyDescent="0.2">
      <c r="A48" s="22"/>
      <c r="B48" s="341"/>
      <c r="C48" s="24" t="s">
        <v>1</v>
      </c>
      <c r="D48" s="25" t="s">
        <v>10</v>
      </c>
      <c r="E48" s="148">
        <v>0</v>
      </c>
      <c r="F48" s="149">
        <v>0</v>
      </c>
      <c r="G48" s="150">
        <f>+F48+E48</f>
        <v>0</v>
      </c>
      <c r="H48" s="18"/>
      <c r="I48" s="346"/>
      <c r="J48" s="24" t="s">
        <v>1</v>
      </c>
      <c r="K48" s="25" t="s">
        <v>10</v>
      </c>
      <c r="L48" s="148">
        <v>0</v>
      </c>
      <c r="M48" s="155">
        <v>2190750</v>
      </c>
      <c r="N48" s="150">
        <f>+M48+L48</f>
        <v>2190750</v>
      </c>
    </row>
    <row r="49" spans="1:14" s="1" customFormat="1" ht="18" customHeight="1" x14ac:dyDescent="0.2">
      <c r="A49" s="22"/>
      <c r="B49" s="341"/>
      <c r="C49" s="24" t="s">
        <v>2</v>
      </c>
      <c r="D49" s="25" t="s">
        <v>13</v>
      </c>
      <c r="E49" s="148">
        <v>0</v>
      </c>
      <c r="F49" s="149">
        <v>0</v>
      </c>
      <c r="G49" s="150">
        <f t="shared" ref="G49:G50" si="30">+F49+E49</f>
        <v>0</v>
      </c>
      <c r="H49" s="18"/>
      <c r="I49" s="346"/>
      <c r="J49" s="24" t="s">
        <v>2</v>
      </c>
      <c r="K49" s="25" t="s">
        <v>13</v>
      </c>
      <c r="L49" s="148">
        <v>0</v>
      </c>
      <c r="M49" s="155">
        <v>0</v>
      </c>
      <c r="N49" s="150">
        <f t="shared" ref="N49:N50" si="31">+M49+L49</f>
        <v>0</v>
      </c>
    </row>
    <row r="50" spans="1:14" s="1" customFormat="1" ht="18" customHeight="1" x14ac:dyDescent="0.2">
      <c r="A50" s="22"/>
      <c r="B50" s="342"/>
      <c r="C50" s="24" t="s">
        <v>4</v>
      </c>
      <c r="D50" s="25" t="s">
        <v>12</v>
      </c>
      <c r="E50" s="148">
        <v>0</v>
      </c>
      <c r="F50" s="149">
        <v>0</v>
      </c>
      <c r="G50" s="150">
        <f t="shared" si="30"/>
        <v>0</v>
      </c>
      <c r="H50" s="18"/>
      <c r="I50" s="347"/>
      <c r="J50" s="24" t="s">
        <v>4</v>
      </c>
      <c r="K50" s="25" t="s">
        <v>12</v>
      </c>
      <c r="L50" s="148">
        <v>0</v>
      </c>
      <c r="M50" s="155">
        <v>0</v>
      </c>
      <c r="N50" s="150">
        <f t="shared" si="31"/>
        <v>0</v>
      </c>
    </row>
    <row r="51" spans="1:14" s="1" customFormat="1" ht="18" customHeight="1" x14ac:dyDescent="0.2">
      <c r="A51" s="22"/>
      <c r="B51" s="340" t="s">
        <v>80</v>
      </c>
      <c r="C51" s="348" t="s">
        <v>55</v>
      </c>
      <c r="D51" s="349"/>
      <c r="E51" s="146">
        <f>E52+E53+E54</f>
        <v>2664000</v>
      </c>
      <c r="F51" s="146">
        <f t="shared" ref="F51:G51" si="32">F52+F53+F54</f>
        <v>0</v>
      </c>
      <c r="G51" s="146">
        <f t="shared" si="32"/>
        <v>2664000</v>
      </c>
      <c r="H51" s="18"/>
      <c r="I51" s="345" t="s">
        <v>66</v>
      </c>
      <c r="J51" s="350" t="s">
        <v>67</v>
      </c>
      <c r="K51" s="350"/>
      <c r="L51" s="146">
        <f>L52+L53+L54</f>
        <v>0</v>
      </c>
      <c r="M51" s="146">
        <f t="shared" ref="M51:N51" si="33">M52+M53+M54</f>
        <v>0</v>
      </c>
      <c r="N51" s="154">
        <f t="shared" si="33"/>
        <v>0</v>
      </c>
    </row>
    <row r="52" spans="1:14" s="1" customFormat="1" ht="18" customHeight="1" x14ac:dyDescent="0.2">
      <c r="A52" s="22"/>
      <c r="B52" s="341"/>
      <c r="C52" s="24" t="s">
        <v>1</v>
      </c>
      <c r="D52" s="25" t="s">
        <v>10</v>
      </c>
      <c r="E52" s="148">
        <v>2664000</v>
      </c>
      <c r="F52" s="149">
        <v>0</v>
      </c>
      <c r="G52" s="150">
        <f>+F52+E52</f>
        <v>2664000</v>
      </c>
      <c r="H52" s="18"/>
      <c r="I52" s="346"/>
      <c r="J52" s="24" t="s">
        <v>1</v>
      </c>
      <c r="K52" s="25" t="s">
        <v>10</v>
      </c>
      <c r="L52" s="148">
        <v>0</v>
      </c>
      <c r="M52" s="155">
        <v>0</v>
      </c>
      <c r="N52" s="150">
        <f>+M52+L52</f>
        <v>0</v>
      </c>
    </row>
    <row r="53" spans="1:14" s="1" customFormat="1" ht="18" customHeight="1" x14ac:dyDescent="0.2">
      <c r="A53" s="22"/>
      <c r="B53" s="341"/>
      <c r="C53" s="24" t="s">
        <v>2</v>
      </c>
      <c r="D53" s="25" t="s">
        <v>13</v>
      </c>
      <c r="E53" s="148">
        <v>0</v>
      </c>
      <c r="F53" s="149">
        <v>0</v>
      </c>
      <c r="G53" s="150">
        <f t="shared" ref="G53:G54" si="34">+F53+E53</f>
        <v>0</v>
      </c>
      <c r="H53" s="18"/>
      <c r="I53" s="346"/>
      <c r="J53" s="24" t="s">
        <v>2</v>
      </c>
      <c r="K53" s="25" t="s">
        <v>13</v>
      </c>
      <c r="L53" s="148">
        <v>0</v>
      </c>
      <c r="M53" s="155">
        <v>0</v>
      </c>
      <c r="N53" s="150">
        <f t="shared" ref="N53:N54" si="35">+M53+L53</f>
        <v>0</v>
      </c>
    </row>
    <row r="54" spans="1:14" s="1" customFormat="1" ht="18" customHeight="1" x14ac:dyDescent="0.2">
      <c r="A54" s="23"/>
      <c r="B54" s="342"/>
      <c r="C54" s="24" t="s">
        <v>4</v>
      </c>
      <c r="D54" s="25" t="s">
        <v>12</v>
      </c>
      <c r="E54" s="148">
        <v>0</v>
      </c>
      <c r="F54" s="149">
        <v>0</v>
      </c>
      <c r="G54" s="150">
        <f t="shared" si="34"/>
        <v>0</v>
      </c>
      <c r="H54" s="17"/>
      <c r="I54" s="347"/>
      <c r="J54" s="24" t="s">
        <v>4</v>
      </c>
      <c r="K54" s="25" t="s">
        <v>12</v>
      </c>
      <c r="L54" s="148">
        <v>0</v>
      </c>
      <c r="M54" s="155">
        <v>0</v>
      </c>
      <c r="N54" s="150">
        <f t="shared" si="35"/>
        <v>0</v>
      </c>
    </row>
    <row r="55" spans="1:14" s="1" customFormat="1" ht="18" customHeight="1" x14ac:dyDescent="0.2">
      <c r="A55" s="28" t="s">
        <v>3</v>
      </c>
      <c r="B55" s="320" t="s">
        <v>26</v>
      </c>
      <c r="C55" s="321"/>
      <c r="D55" s="322"/>
      <c r="E55" s="159">
        <f>E56+E57+E58</f>
        <v>2664000</v>
      </c>
      <c r="F55" s="159">
        <f t="shared" ref="F55:G55" si="36">F56+F57+F58</f>
        <v>0</v>
      </c>
      <c r="G55" s="159">
        <f t="shared" si="36"/>
        <v>2664000</v>
      </c>
      <c r="H55" s="29" t="s">
        <v>3</v>
      </c>
      <c r="I55" s="320" t="s">
        <v>19</v>
      </c>
      <c r="J55" s="321"/>
      <c r="K55" s="322"/>
      <c r="L55" s="159">
        <f>L56+L57+L58</f>
        <v>206900276</v>
      </c>
      <c r="M55" s="159">
        <f t="shared" ref="M55:N55" si="37">M56+M57+M58</f>
        <v>33690750</v>
      </c>
      <c r="N55" s="160">
        <f t="shared" si="37"/>
        <v>240591026</v>
      </c>
    </row>
    <row r="56" spans="1:14" s="1" customFormat="1" ht="18" customHeight="1" x14ac:dyDescent="0.2">
      <c r="A56" s="30"/>
      <c r="B56" s="323" t="s">
        <v>83</v>
      </c>
      <c r="C56" s="31" t="s">
        <v>1</v>
      </c>
      <c r="D56" s="32" t="s">
        <v>10</v>
      </c>
      <c r="E56" s="161">
        <f t="shared" ref="E56:G58" si="38">E44+E48+E52</f>
        <v>2664000</v>
      </c>
      <c r="F56" s="161">
        <f t="shared" si="38"/>
        <v>0</v>
      </c>
      <c r="G56" s="161">
        <f t="shared" si="38"/>
        <v>2664000</v>
      </c>
      <c r="H56" s="34"/>
      <c r="I56" s="325" t="s">
        <v>68</v>
      </c>
      <c r="J56" s="31" t="s">
        <v>1</v>
      </c>
      <c r="K56" s="32" t="s">
        <v>10</v>
      </c>
      <c r="L56" s="161">
        <f t="shared" ref="L56:L58" si="39">L44+L48+L52</f>
        <v>206900276</v>
      </c>
      <c r="M56" s="161">
        <f t="shared" ref="M56:N56" si="40">M44+M48+M52</f>
        <v>33690750</v>
      </c>
      <c r="N56" s="162">
        <f t="shared" si="40"/>
        <v>240591026</v>
      </c>
    </row>
    <row r="57" spans="1:14" s="1" customFormat="1" ht="18" customHeight="1" x14ac:dyDescent="0.2">
      <c r="A57" s="30"/>
      <c r="B57" s="324"/>
      <c r="C57" s="31" t="s">
        <v>2</v>
      </c>
      <c r="D57" s="32" t="s">
        <v>13</v>
      </c>
      <c r="E57" s="161">
        <f t="shared" si="38"/>
        <v>0</v>
      </c>
      <c r="F57" s="161">
        <f t="shared" si="38"/>
        <v>0</v>
      </c>
      <c r="G57" s="161">
        <f t="shared" si="38"/>
        <v>0</v>
      </c>
      <c r="H57" s="34"/>
      <c r="I57" s="325"/>
      <c r="J57" s="31" t="s">
        <v>2</v>
      </c>
      <c r="K57" s="32" t="s">
        <v>13</v>
      </c>
      <c r="L57" s="161">
        <f t="shared" si="39"/>
        <v>0</v>
      </c>
      <c r="M57" s="161">
        <f t="shared" ref="M57:N57" si="41">M45+M49+M53</f>
        <v>0</v>
      </c>
      <c r="N57" s="162">
        <f t="shared" si="41"/>
        <v>0</v>
      </c>
    </row>
    <row r="58" spans="1:14" s="1" customFormat="1" ht="18" customHeight="1" x14ac:dyDescent="0.2">
      <c r="A58" s="30"/>
      <c r="B58" s="324"/>
      <c r="C58" s="38" t="s">
        <v>4</v>
      </c>
      <c r="D58" s="39" t="s">
        <v>12</v>
      </c>
      <c r="E58" s="161">
        <f t="shared" si="38"/>
        <v>0</v>
      </c>
      <c r="F58" s="161">
        <f t="shared" si="38"/>
        <v>0</v>
      </c>
      <c r="G58" s="161">
        <f t="shared" si="38"/>
        <v>0</v>
      </c>
      <c r="H58" s="34"/>
      <c r="I58" s="326"/>
      <c r="J58" s="38" t="s">
        <v>4</v>
      </c>
      <c r="K58" s="39" t="s">
        <v>12</v>
      </c>
      <c r="L58" s="163">
        <f t="shared" si="39"/>
        <v>0</v>
      </c>
      <c r="M58" s="163">
        <f t="shared" ref="M58:N58" si="42">M46+M50+M54</f>
        <v>0</v>
      </c>
      <c r="N58" s="164">
        <f t="shared" si="42"/>
        <v>0</v>
      </c>
    </row>
    <row r="59" spans="1:14" s="48" customFormat="1" ht="31.5" customHeight="1" thickBot="1" x14ac:dyDescent="0.25">
      <c r="A59" s="392" t="s">
        <v>100</v>
      </c>
      <c r="B59" s="393"/>
      <c r="C59" s="393"/>
      <c r="D59" s="393"/>
      <c r="E59" s="175">
        <f>+L55-E55</f>
        <v>204236276</v>
      </c>
      <c r="F59" s="175">
        <f>M55-F55</f>
        <v>33690750</v>
      </c>
      <c r="G59" s="175">
        <f>N55-G55</f>
        <v>237927026</v>
      </c>
      <c r="H59" s="392" t="s">
        <v>101</v>
      </c>
      <c r="I59" s="393"/>
      <c r="J59" s="393"/>
      <c r="K59" s="393"/>
      <c r="L59" s="202"/>
      <c r="M59" s="199"/>
      <c r="N59" s="203"/>
    </row>
    <row r="60" spans="1:14" s="1" customFormat="1" ht="18" customHeight="1" x14ac:dyDescent="0.2">
      <c r="A60" s="40" t="s">
        <v>41</v>
      </c>
      <c r="B60" s="394" t="s">
        <v>42</v>
      </c>
      <c r="C60" s="395"/>
      <c r="D60" s="396"/>
      <c r="E60" s="167">
        <f>E61+E62+E63</f>
        <v>957783380</v>
      </c>
      <c r="F60" s="167">
        <f t="shared" ref="F60:G60" si="43">F61+F62+F63</f>
        <v>-2948352</v>
      </c>
      <c r="G60" s="167">
        <f t="shared" si="43"/>
        <v>954835028</v>
      </c>
      <c r="H60" s="40" t="s">
        <v>41</v>
      </c>
      <c r="I60" s="332" t="s">
        <v>44</v>
      </c>
      <c r="J60" s="333"/>
      <c r="K60" s="333"/>
      <c r="L60" s="167">
        <f>L61+L62+L63</f>
        <v>1155461475</v>
      </c>
      <c r="M60" s="167">
        <f t="shared" ref="M60:N60" si="44">M61+M62+M63</f>
        <v>159710917</v>
      </c>
      <c r="N60" s="169">
        <f t="shared" si="44"/>
        <v>1315172392</v>
      </c>
    </row>
    <row r="61" spans="1:14" s="1" customFormat="1" ht="18" customHeight="1" x14ac:dyDescent="0.2">
      <c r="A61" s="30"/>
      <c r="B61" s="334" t="s">
        <v>85</v>
      </c>
      <c r="C61" s="31" t="s">
        <v>1</v>
      </c>
      <c r="D61" s="32" t="s">
        <v>10</v>
      </c>
      <c r="E61" s="163">
        <f t="shared" ref="E61:G61" si="45">E37+E56</f>
        <v>957783380</v>
      </c>
      <c r="F61" s="163">
        <f t="shared" si="45"/>
        <v>-2948352</v>
      </c>
      <c r="G61" s="163">
        <f t="shared" si="45"/>
        <v>954835028</v>
      </c>
      <c r="H61" s="337"/>
      <c r="I61" s="339" t="s">
        <v>84</v>
      </c>
      <c r="J61" s="31" t="s">
        <v>1</v>
      </c>
      <c r="K61" s="32" t="s">
        <v>10</v>
      </c>
      <c r="L61" s="163">
        <f t="shared" ref="L61:L63" si="46">L37+L56</f>
        <v>1150193975</v>
      </c>
      <c r="M61" s="163">
        <f t="shared" ref="M61:N61" si="47">M37+M56</f>
        <v>157610917</v>
      </c>
      <c r="N61" s="164">
        <f t="shared" si="47"/>
        <v>1307804892</v>
      </c>
    </row>
    <row r="62" spans="1:14" s="1" customFormat="1" ht="18" customHeight="1" x14ac:dyDescent="0.2">
      <c r="A62" s="30"/>
      <c r="B62" s="335"/>
      <c r="C62" s="31" t="s">
        <v>2</v>
      </c>
      <c r="D62" s="32" t="s">
        <v>13</v>
      </c>
      <c r="E62" s="163">
        <f>E38+E57</f>
        <v>0</v>
      </c>
      <c r="F62" s="163">
        <f t="shared" ref="F62:G62" si="48">F38+F57</f>
        <v>0</v>
      </c>
      <c r="G62" s="163">
        <f t="shared" si="48"/>
        <v>0</v>
      </c>
      <c r="H62" s="337"/>
      <c r="I62" s="339"/>
      <c r="J62" s="31" t="s">
        <v>2</v>
      </c>
      <c r="K62" s="32" t="s">
        <v>13</v>
      </c>
      <c r="L62" s="163">
        <f t="shared" si="46"/>
        <v>5267500</v>
      </c>
      <c r="M62" s="163">
        <f t="shared" ref="M62:N62" si="49">M38+M57</f>
        <v>2100000</v>
      </c>
      <c r="N62" s="164">
        <f t="shared" si="49"/>
        <v>7367500</v>
      </c>
    </row>
    <row r="63" spans="1:14" s="1" customFormat="1" ht="18" customHeight="1" x14ac:dyDescent="0.2">
      <c r="A63" s="33"/>
      <c r="B63" s="336"/>
      <c r="C63" s="31" t="s">
        <v>4</v>
      </c>
      <c r="D63" s="32" t="s">
        <v>12</v>
      </c>
      <c r="E63" s="161">
        <f>E39+E58</f>
        <v>0</v>
      </c>
      <c r="F63" s="161">
        <f t="shared" ref="F63:G63" si="50">F39+F58</f>
        <v>0</v>
      </c>
      <c r="G63" s="161">
        <f t="shared" si="50"/>
        <v>0</v>
      </c>
      <c r="H63" s="338"/>
      <c r="I63" s="339"/>
      <c r="J63" s="31" t="s">
        <v>4</v>
      </c>
      <c r="K63" s="32" t="s">
        <v>12</v>
      </c>
      <c r="L63" s="161">
        <f t="shared" si="46"/>
        <v>0</v>
      </c>
      <c r="M63" s="161">
        <f t="shared" ref="M63:N63" si="51">M39+M58</f>
        <v>0</v>
      </c>
      <c r="N63" s="162">
        <f t="shared" si="51"/>
        <v>0</v>
      </c>
    </row>
    <row r="64" spans="1:14" s="11" customFormat="1" ht="30" customHeight="1" thickBot="1" x14ac:dyDescent="0.25">
      <c r="A64" s="317" t="s">
        <v>72</v>
      </c>
      <c r="B64" s="318"/>
      <c r="C64" s="318"/>
      <c r="D64" s="319"/>
      <c r="E64" s="175">
        <f>L60-E60</f>
        <v>197678095</v>
      </c>
      <c r="F64" s="200">
        <f>M60-F60</f>
        <v>162659269</v>
      </c>
      <c r="G64" s="201">
        <f>N60-G60</f>
        <v>360337364</v>
      </c>
      <c r="H64" s="317" t="s">
        <v>73</v>
      </c>
      <c r="I64" s="318"/>
      <c r="J64" s="318"/>
      <c r="K64" s="319"/>
      <c r="L64" s="204"/>
      <c r="M64" s="204"/>
      <c r="N64" s="205"/>
    </row>
    <row r="65" spans="1:14" s="1" customFormat="1" ht="18" customHeight="1" x14ac:dyDescent="0.2">
      <c r="A65" s="47" t="s">
        <v>45</v>
      </c>
      <c r="B65" s="306" t="s">
        <v>43</v>
      </c>
      <c r="C65" s="307"/>
      <c r="D65" s="308"/>
      <c r="E65" s="168">
        <f>E66+E67</f>
        <v>598695602</v>
      </c>
      <c r="F65" s="168">
        <f t="shared" ref="F65:G65" si="52">F66+F67</f>
        <v>154043019</v>
      </c>
      <c r="G65" s="168">
        <f t="shared" si="52"/>
        <v>752738621</v>
      </c>
      <c r="H65" s="59" t="s">
        <v>45</v>
      </c>
      <c r="I65" s="309" t="s">
        <v>57</v>
      </c>
      <c r="J65" s="310"/>
      <c r="K65" s="311"/>
      <c r="L65" s="170">
        <f>L66+L67</f>
        <v>401017507</v>
      </c>
      <c r="M65" s="170">
        <f t="shared" ref="M65:N65" si="53">M66+M67</f>
        <v>-8616250</v>
      </c>
      <c r="N65" s="171">
        <f t="shared" si="53"/>
        <v>392401257</v>
      </c>
    </row>
    <row r="66" spans="1:14" s="1" customFormat="1" ht="18" customHeight="1" x14ac:dyDescent="0.2">
      <c r="A66" s="35"/>
      <c r="B66" s="312" t="s">
        <v>74</v>
      </c>
      <c r="C66" s="24" t="s">
        <v>1</v>
      </c>
      <c r="D66" s="25" t="s">
        <v>86</v>
      </c>
      <c r="E66" s="148">
        <v>598695602</v>
      </c>
      <c r="F66" s="149">
        <v>154043019</v>
      </c>
      <c r="G66" s="150">
        <f>+F66+E66</f>
        <v>752738621</v>
      </c>
      <c r="H66" s="35"/>
      <c r="I66" s="312" t="s">
        <v>69</v>
      </c>
      <c r="J66" s="24" t="s">
        <v>1</v>
      </c>
      <c r="K66" s="25" t="s">
        <v>89</v>
      </c>
      <c r="L66" s="148">
        <v>388573507</v>
      </c>
      <c r="M66" s="155">
        <f>24860000-33900000+423750</f>
        <v>-8616250</v>
      </c>
      <c r="N66" s="150">
        <f>+M66+L66</f>
        <v>379957257</v>
      </c>
    </row>
    <row r="67" spans="1:14" s="1" customFormat="1" ht="18" customHeight="1" x14ac:dyDescent="0.2">
      <c r="A67" s="35"/>
      <c r="B67" s="313"/>
      <c r="C67" s="24" t="s">
        <v>2</v>
      </c>
      <c r="D67" s="25" t="s">
        <v>87</v>
      </c>
      <c r="E67" s="148">
        <v>0</v>
      </c>
      <c r="F67" s="149">
        <v>0</v>
      </c>
      <c r="G67" s="150">
        <f>+F67+E67</f>
        <v>0</v>
      </c>
      <c r="H67" s="35"/>
      <c r="I67" s="313"/>
      <c r="J67" s="24" t="s">
        <v>2</v>
      </c>
      <c r="K67" s="25" t="s">
        <v>88</v>
      </c>
      <c r="L67" s="148">
        <v>12444000</v>
      </c>
      <c r="M67" s="155">
        <v>0</v>
      </c>
      <c r="N67" s="150">
        <f>+M67+L67</f>
        <v>12444000</v>
      </c>
    </row>
    <row r="68" spans="1:14" s="7" customFormat="1" ht="18" customHeight="1" x14ac:dyDescent="0.2">
      <c r="A68" s="181" t="s">
        <v>46</v>
      </c>
      <c r="B68" s="314" t="s">
        <v>29</v>
      </c>
      <c r="C68" s="315"/>
      <c r="D68" s="316"/>
      <c r="E68" s="182">
        <f>E69+E70+E71</f>
        <v>1556478982</v>
      </c>
      <c r="F68" s="182">
        <f t="shared" ref="F68:G68" si="54">F69+F70+F71</f>
        <v>151094667</v>
      </c>
      <c r="G68" s="182">
        <f t="shared" si="54"/>
        <v>1707573649</v>
      </c>
      <c r="H68" s="183" t="s">
        <v>46</v>
      </c>
      <c r="I68" s="314" t="s">
        <v>30</v>
      </c>
      <c r="J68" s="315"/>
      <c r="K68" s="316"/>
      <c r="L68" s="182">
        <f>L69+L70+L71</f>
        <v>1556478982</v>
      </c>
      <c r="M68" s="182">
        <f t="shared" ref="M68:N68" si="55">M69+M70+M71</f>
        <v>151094667</v>
      </c>
      <c r="N68" s="184">
        <f t="shared" si="55"/>
        <v>1707573649</v>
      </c>
    </row>
    <row r="69" spans="1:14" s="7" customFormat="1" ht="18" customHeight="1" x14ac:dyDescent="0.2">
      <c r="A69" s="185"/>
      <c r="B69" s="302" t="s">
        <v>71</v>
      </c>
      <c r="C69" s="186" t="s">
        <v>1</v>
      </c>
      <c r="D69" s="187" t="s">
        <v>10</v>
      </c>
      <c r="E69" s="188">
        <f>E61+E66+E67</f>
        <v>1556478982</v>
      </c>
      <c r="F69" s="188">
        <f t="shared" ref="F69:G69" si="56">F61+F66+F67</f>
        <v>151094667</v>
      </c>
      <c r="G69" s="188">
        <f t="shared" si="56"/>
        <v>1707573649</v>
      </c>
      <c r="H69" s="189"/>
      <c r="I69" s="302" t="s">
        <v>70</v>
      </c>
      <c r="J69" s="186" t="s">
        <v>1</v>
      </c>
      <c r="K69" s="187" t="s">
        <v>10</v>
      </c>
      <c r="L69" s="188">
        <f>L61+L66+L67</f>
        <v>1551211482</v>
      </c>
      <c r="M69" s="188">
        <f t="shared" ref="M69:N69" si="57">M61+M66+M67</f>
        <v>148994667</v>
      </c>
      <c r="N69" s="190">
        <f t="shared" si="57"/>
        <v>1700206149</v>
      </c>
    </row>
    <row r="70" spans="1:14" s="7" customFormat="1" ht="18" customHeight="1" x14ac:dyDescent="0.2">
      <c r="A70" s="185"/>
      <c r="B70" s="303"/>
      <c r="C70" s="186" t="s">
        <v>2</v>
      </c>
      <c r="D70" s="187" t="s">
        <v>13</v>
      </c>
      <c r="E70" s="188">
        <f>E62</f>
        <v>0</v>
      </c>
      <c r="F70" s="188">
        <f t="shared" ref="F70:G70" si="58">F62</f>
        <v>0</v>
      </c>
      <c r="G70" s="188">
        <f t="shared" si="58"/>
        <v>0</v>
      </c>
      <c r="H70" s="189"/>
      <c r="I70" s="303"/>
      <c r="J70" s="186" t="s">
        <v>2</v>
      </c>
      <c r="K70" s="187" t="s">
        <v>13</v>
      </c>
      <c r="L70" s="188">
        <f t="shared" ref="L70:L71" si="59">L62</f>
        <v>5267500</v>
      </c>
      <c r="M70" s="188">
        <f t="shared" ref="M70:N70" si="60">M62</f>
        <v>2100000</v>
      </c>
      <c r="N70" s="190">
        <f t="shared" si="60"/>
        <v>7367500</v>
      </c>
    </row>
    <row r="71" spans="1:14" s="7" customFormat="1" ht="18" customHeight="1" thickBot="1" x14ac:dyDescent="0.25">
      <c r="A71" s="191"/>
      <c r="B71" s="304"/>
      <c r="C71" s="192" t="s">
        <v>4</v>
      </c>
      <c r="D71" s="193" t="s">
        <v>12</v>
      </c>
      <c r="E71" s="194">
        <f>E63</f>
        <v>0</v>
      </c>
      <c r="F71" s="194">
        <f t="shared" ref="F71:G71" si="61">F63</f>
        <v>0</v>
      </c>
      <c r="G71" s="194">
        <f t="shared" si="61"/>
        <v>0</v>
      </c>
      <c r="H71" s="195"/>
      <c r="I71" s="304"/>
      <c r="J71" s="192" t="s">
        <v>4</v>
      </c>
      <c r="K71" s="193" t="s">
        <v>12</v>
      </c>
      <c r="L71" s="194">
        <f t="shared" si="59"/>
        <v>0</v>
      </c>
      <c r="M71" s="194">
        <f t="shared" ref="M71:N71" si="62">M63</f>
        <v>0</v>
      </c>
      <c r="N71" s="196">
        <f t="shared" si="62"/>
        <v>0</v>
      </c>
    </row>
    <row r="73" spans="1:14" x14ac:dyDescent="0.2">
      <c r="M73" s="90"/>
    </row>
    <row r="74" spans="1:14" x14ac:dyDescent="0.2">
      <c r="A74" s="305"/>
      <c r="B74" s="305"/>
      <c r="C74" s="305"/>
      <c r="D74" s="305"/>
      <c r="E74" s="305"/>
      <c r="F74" s="20"/>
      <c r="G74" s="20"/>
    </row>
  </sheetData>
  <sheetProtection formatCells="0"/>
  <mergeCells count="78">
    <mergeCell ref="A64:D64"/>
    <mergeCell ref="H64:K64"/>
    <mergeCell ref="B69:B71"/>
    <mergeCell ref="I69:I71"/>
    <mergeCell ref="A74:E74"/>
    <mergeCell ref="B65:D65"/>
    <mergeCell ref="I65:K65"/>
    <mergeCell ref="B66:B67"/>
    <mergeCell ref="I66:I67"/>
    <mergeCell ref="B68:D68"/>
    <mergeCell ref="I68:K68"/>
    <mergeCell ref="B56:B58"/>
    <mergeCell ref="I56:I58"/>
    <mergeCell ref="A59:D59"/>
    <mergeCell ref="H59:K59"/>
    <mergeCell ref="B61:B63"/>
    <mergeCell ref="H61:H63"/>
    <mergeCell ref="I61:I63"/>
    <mergeCell ref="B60:D60"/>
    <mergeCell ref="I60:K60"/>
    <mergeCell ref="B51:B54"/>
    <mergeCell ref="C51:D51"/>
    <mergeCell ref="I51:I54"/>
    <mergeCell ref="J51:K51"/>
    <mergeCell ref="B55:D55"/>
    <mergeCell ref="I55:K55"/>
    <mergeCell ref="B43:B46"/>
    <mergeCell ref="C43:D43"/>
    <mergeCell ref="I43:I46"/>
    <mergeCell ref="J43:K43"/>
    <mergeCell ref="B47:B50"/>
    <mergeCell ref="C47:D47"/>
    <mergeCell ref="I47:I50"/>
    <mergeCell ref="J47:K47"/>
    <mergeCell ref="I37:I39"/>
    <mergeCell ref="A30:G35"/>
    <mergeCell ref="A41:N41"/>
    <mergeCell ref="B42:D42"/>
    <mergeCell ref="I42:K42"/>
    <mergeCell ref="B22:B25"/>
    <mergeCell ref="C22:D22"/>
    <mergeCell ref="I22:I25"/>
    <mergeCell ref="J22:K22"/>
    <mergeCell ref="A40:D40"/>
    <mergeCell ref="H40:K40"/>
    <mergeCell ref="B26:B29"/>
    <mergeCell ref="C26:D26"/>
    <mergeCell ref="I26:I29"/>
    <mergeCell ref="J26:K26"/>
    <mergeCell ref="I30:I35"/>
    <mergeCell ref="J30:K30"/>
    <mergeCell ref="B36:D36"/>
    <mergeCell ref="I36:K36"/>
    <mergeCell ref="B37:B39"/>
    <mergeCell ref="H37:H39"/>
    <mergeCell ref="B14:B17"/>
    <mergeCell ref="C14:D14"/>
    <mergeCell ref="I14:I17"/>
    <mergeCell ref="J14:K14"/>
    <mergeCell ref="B18:B21"/>
    <mergeCell ref="C18:D18"/>
    <mergeCell ref="I18:I21"/>
    <mergeCell ref="J18:K18"/>
    <mergeCell ref="C11:D11"/>
    <mergeCell ref="J11:K11"/>
    <mergeCell ref="A12:N12"/>
    <mergeCell ref="B13:D13"/>
    <mergeCell ref="I13:K13"/>
    <mergeCell ref="K2:N2"/>
    <mergeCell ref="K1:N1"/>
    <mergeCell ref="D9:K9"/>
    <mergeCell ref="A10:E10"/>
    <mergeCell ref="H10:N10"/>
    <mergeCell ref="A4:N4"/>
    <mergeCell ref="A5:N5"/>
    <mergeCell ref="A6:N6"/>
    <mergeCell ref="A7:N7"/>
    <mergeCell ref="A8:N8"/>
  </mergeCells>
  <printOptions horizontalCentered="1"/>
  <pageMargins left="0.19685039370078741" right="0.19685039370078741" top="3.937007874015748E-2" bottom="0" header="0.43307086614173229" footer="0.51181102362204722"/>
  <pageSetup paperSize="9" scale="62" orientation="landscape" r:id="rId1"/>
  <headerFooter alignWithMargins="0"/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A1:T74"/>
  <sheetViews>
    <sheetView topLeftCell="A46" zoomScaleNormal="100" workbookViewId="0">
      <selection activeCell="Q37" sqref="Q37"/>
    </sheetView>
  </sheetViews>
  <sheetFormatPr defaultColWidth="9.140625" defaultRowHeight="12.75" x14ac:dyDescent="0.2"/>
  <cols>
    <col min="1" max="1" width="5.5703125" style="20" customWidth="1"/>
    <col min="2" max="2" width="4.28515625" style="20" customWidth="1"/>
    <col min="3" max="3" width="3.7109375" style="3" customWidth="1"/>
    <col min="4" max="4" width="50.7109375" style="3" customWidth="1"/>
    <col min="5" max="7" width="15.7109375" style="5" customWidth="1"/>
    <col min="8" max="8" width="6.5703125" style="16" customWidth="1"/>
    <col min="9" max="9" width="4.28515625" style="16" customWidth="1"/>
    <col min="10" max="10" width="3.7109375" style="16" customWidth="1"/>
    <col min="11" max="11" width="51" style="3" customWidth="1"/>
    <col min="12" max="13" width="15.7109375" style="3" customWidth="1"/>
    <col min="14" max="14" width="15.7109375" style="5" customWidth="1"/>
    <col min="15" max="16384" width="9.140625" style="3"/>
  </cols>
  <sheetData>
    <row r="1" spans="1:20" ht="14.25" x14ac:dyDescent="0.2">
      <c r="K1" s="391" t="s">
        <v>215</v>
      </c>
      <c r="L1" s="391"/>
      <c r="M1" s="391"/>
      <c r="N1" s="391"/>
      <c r="P1" s="58"/>
      <c r="Q1" s="58"/>
      <c r="R1" s="58"/>
      <c r="S1" s="58"/>
      <c r="T1" s="58"/>
    </row>
    <row r="2" spans="1:20" ht="14.25" x14ac:dyDescent="0.2">
      <c r="K2" s="391" t="s">
        <v>214</v>
      </c>
      <c r="L2" s="391"/>
      <c r="M2" s="391"/>
      <c r="N2" s="391"/>
      <c r="O2" s="58"/>
      <c r="P2" s="58"/>
      <c r="Q2" s="58"/>
      <c r="R2" s="58"/>
      <c r="S2" s="58"/>
      <c r="T2" s="58"/>
    </row>
    <row r="3" spans="1:20" ht="14.25" x14ac:dyDescent="0.2">
      <c r="K3" s="61"/>
      <c r="L3" s="61"/>
      <c r="M3" s="61"/>
      <c r="N3" s="61"/>
      <c r="O3" s="58"/>
      <c r="P3" s="58"/>
      <c r="Q3" s="58"/>
      <c r="R3" s="58"/>
      <c r="S3" s="58"/>
      <c r="T3" s="58"/>
    </row>
    <row r="4" spans="1:20" ht="15.95" customHeight="1" x14ac:dyDescent="0.25">
      <c r="A4" s="382" t="s">
        <v>223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" t="s">
        <v>40</v>
      </c>
    </row>
    <row r="5" spans="1:20" ht="15.95" customHeight="1" x14ac:dyDescent="0.25">
      <c r="A5" s="382" t="s">
        <v>27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</row>
    <row r="6" spans="1:20" ht="15.95" customHeight="1" x14ac:dyDescent="0.25">
      <c r="A6" s="382" t="s">
        <v>51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</row>
    <row r="7" spans="1:20" ht="15.95" customHeight="1" x14ac:dyDescent="0.25">
      <c r="A7" s="382" t="s">
        <v>221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</row>
    <row r="8" spans="1:20" ht="15.95" customHeight="1" x14ac:dyDescent="0.25">
      <c r="A8" s="382" t="s">
        <v>222</v>
      </c>
      <c r="B8" s="382"/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</row>
    <row r="9" spans="1:20" ht="15.95" customHeight="1" thickBot="1" x14ac:dyDescent="0.35">
      <c r="D9" s="383"/>
      <c r="E9" s="383"/>
      <c r="F9" s="383"/>
      <c r="G9" s="383"/>
      <c r="H9" s="383"/>
      <c r="I9" s="383"/>
      <c r="J9" s="383"/>
      <c r="K9" s="383"/>
      <c r="L9" s="60"/>
      <c r="M9" s="60"/>
      <c r="N9" s="14" t="s">
        <v>182</v>
      </c>
    </row>
    <row r="10" spans="1:20" s="6" customFormat="1" ht="21.95" customHeight="1" x14ac:dyDescent="0.2">
      <c r="A10" s="384" t="s">
        <v>49</v>
      </c>
      <c r="B10" s="385"/>
      <c r="C10" s="385"/>
      <c r="D10" s="385"/>
      <c r="E10" s="385"/>
      <c r="F10" s="140"/>
      <c r="G10" s="140"/>
      <c r="H10" s="384" t="s">
        <v>50</v>
      </c>
      <c r="I10" s="385"/>
      <c r="J10" s="385"/>
      <c r="K10" s="385"/>
      <c r="L10" s="385"/>
      <c r="M10" s="385"/>
      <c r="N10" s="386"/>
    </row>
    <row r="11" spans="1:20" s="6" customFormat="1" ht="41.25" customHeight="1" thickBot="1" x14ac:dyDescent="0.25">
      <c r="A11" s="141" t="s">
        <v>91</v>
      </c>
      <c r="B11" s="142" t="s">
        <v>92</v>
      </c>
      <c r="C11" s="387"/>
      <c r="D11" s="388"/>
      <c r="E11" s="143" t="s">
        <v>39</v>
      </c>
      <c r="F11" s="144" t="s">
        <v>151</v>
      </c>
      <c r="G11" s="144" t="s">
        <v>152</v>
      </c>
      <c r="H11" s="141" t="s">
        <v>91</v>
      </c>
      <c r="I11" s="142" t="s">
        <v>92</v>
      </c>
      <c r="J11" s="389"/>
      <c r="K11" s="390"/>
      <c r="L11" s="143" t="s">
        <v>39</v>
      </c>
      <c r="M11" s="144" t="s">
        <v>151</v>
      </c>
      <c r="N11" s="145" t="s">
        <v>152</v>
      </c>
    </row>
    <row r="12" spans="1:20" s="1" customFormat="1" ht="18" customHeight="1" x14ac:dyDescent="0.2">
      <c r="A12" s="351" t="s">
        <v>48</v>
      </c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3"/>
    </row>
    <row r="13" spans="1:20" s="2" customFormat="1" ht="18" customHeight="1" x14ac:dyDescent="0.2">
      <c r="A13" s="21" t="s">
        <v>0</v>
      </c>
      <c r="B13" s="354" t="s">
        <v>47</v>
      </c>
      <c r="C13" s="355"/>
      <c r="D13" s="356"/>
      <c r="E13" s="146">
        <f>E14+E18+E22+E26</f>
        <v>720000</v>
      </c>
      <c r="F13" s="147">
        <f t="shared" ref="F13:G13" si="0">F14+F18+F22+F26</f>
        <v>34218660</v>
      </c>
      <c r="G13" s="146">
        <f t="shared" si="0"/>
        <v>34938660</v>
      </c>
      <c r="H13" s="46" t="s">
        <v>0</v>
      </c>
      <c r="I13" s="379" t="s">
        <v>21</v>
      </c>
      <c r="J13" s="380"/>
      <c r="K13" s="381"/>
      <c r="L13" s="151">
        <f>L14+L18+L22+L26+L30</f>
        <v>388658507</v>
      </c>
      <c r="M13" s="152">
        <f t="shared" ref="M13:N13" si="1">M14+M18+M22+M30+M26</f>
        <v>43587945</v>
      </c>
      <c r="N13" s="153">
        <f t="shared" si="1"/>
        <v>432246452</v>
      </c>
    </row>
    <row r="14" spans="1:20" s="1" customFormat="1" ht="18" customHeight="1" x14ac:dyDescent="0.2">
      <c r="A14" s="22"/>
      <c r="B14" s="340" t="s">
        <v>63</v>
      </c>
      <c r="C14" s="343" t="s">
        <v>54</v>
      </c>
      <c r="D14" s="344"/>
      <c r="E14" s="146">
        <f>E15+E16+E17</f>
        <v>0</v>
      </c>
      <c r="F14" s="147">
        <f t="shared" ref="F14:G14" si="2">F15+F16+F17</f>
        <v>34218660</v>
      </c>
      <c r="G14" s="146">
        <f t="shared" si="2"/>
        <v>34218660</v>
      </c>
      <c r="H14" s="18"/>
      <c r="I14" s="345" t="s">
        <v>58</v>
      </c>
      <c r="J14" s="363" t="s">
        <v>17</v>
      </c>
      <c r="K14" s="363"/>
      <c r="L14" s="146">
        <f>L15+L16+L17</f>
        <v>270162021</v>
      </c>
      <c r="M14" s="147">
        <f t="shared" ref="M14:N14" si="3">M15+M16+M17</f>
        <v>26657621</v>
      </c>
      <c r="N14" s="154">
        <f t="shared" si="3"/>
        <v>296819642</v>
      </c>
    </row>
    <row r="15" spans="1:20" s="1" customFormat="1" ht="18" customHeight="1" x14ac:dyDescent="0.2">
      <c r="A15" s="22"/>
      <c r="B15" s="341"/>
      <c r="C15" s="24" t="s">
        <v>1</v>
      </c>
      <c r="D15" s="25" t="s">
        <v>10</v>
      </c>
      <c r="E15" s="148">
        <v>0</v>
      </c>
      <c r="F15" s="149">
        <f>106220+106220+106220+33900000</f>
        <v>34218660</v>
      </c>
      <c r="G15" s="150">
        <f>+F15+E15</f>
        <v>34218660</v>
      </c>
      <c r="H15" s="18"/>
      <c r="I15" s="346"/>
      <c r="J15" s="24" t="s">
        <v>1</v>
      </c>
      <c r="K15" s="25" t="s">
        <v>10</v>
      </c>
      <c r="L15" s="148">
        <v>270162021</v>
      </c>
      <c r="M15" s="155">
        <f>4000000+22000000+40621+54000+40000+54000+94000+375000</f>
        <v>26657621</v>
      </c>
      <c r="N15" s="150">
        <f>+M15+L15</f>
        <v>296819642</v>
      </c>
    </row>
    <row r="16" spans="1:20" s="1" customFormat="1" ht="18" customHeight="1" x14ac:dyDescent="0.2">
      <c r="A16" s="22"/>
      <c r="B16" s="341"/>
      <c r="C16" s="24" t="s">
        <v>2</v>
      </c>
      <c r="D16" s="25" t="s">
        <v>13</v>
      </c>
      <c r="E16" s="148">
        <v>0</v>
      </c>
      <c r="F16" s="149">
        <v>0</v>
      </c>
      <c r="G16" s="150">
        <f t="shared" ref="G16:G25" si="4">+F16+E16</f>
        <v>0</v>
      </c>
      <c r="H16" s="18"/>
      <c r="I16" s="346"/>
      <c r="J16" s="24" t="s">
        <v>2</v>
      </c>
      <c r="K16" s="25" t="s">
        <v>13</v>
      </c>
      <c r="L16" s="148">
        <v>0</v>
      </c>
      <c r="M16" s="155">
        <v>0</v>
      </c>
      <c r="N16" s="150">
        <f t="shared" ref="N16:N17" si="5">+M16+L16</f>
        <v>0</v>
      </c>
    </row>
    <row r="17" spans="1:16" s="1" customFormat="1" ht="18" customHeight="1" x14ac:dyDescent="0.2">
      <c r="A17" s="22"/>
      <c r="B17" s="342"/>
      <c r="C17" s="24" t="s">
        <v>4</v>
      </c>
      <c r="D17" s="25" t="s">
        <v>12</v>
      </c>
      <c r="E17" s="148">
        <v>0</v>
      </c>
      <c r="F17" s="149">
        <v>0</v>
      </c>
      <c r="G17" s="150">
        <f t="shared" si="4"/>
        <v>0</v>
      </c>
      <c r="H17" s="18"/>
      <c r="I17" s="347"/>
      <c r="J17" s="24" t="s">
        <v>4</v>
      </c>
      <c r="K17" s="25" t="s">
        <v>12</v>
      </c>
      <c r="L17" s="148">
        <v>0</v>
      </c>
      <c r="M17" s="155">
        <v>0</v>
      </c>
      <c r="N17" s="150">
        <f t="shared" si="5"/>
        <v>0</v>
      </c>
    </row>
    <row r="18" spans="1:16" s="1" customFormat="1" ht="18" customHeight="1" x14ac:dyDescent="0.2">
      <c r="A18" s="22"/>
      <c r="B18" s="340" t="s">
        <v>76</v>
      </c>
      <c r="C18" s="343" t="s">
        <v>6</v>
      </c>
      <c r="D18" s="344"/>
      <c r="E18" s="146">
        <f>E19+E20+E21</f>
        <v>0</v>
      </c>
      <c r="F18" s="147">
        <f t="shared" ref="F18:G18" si="6">F19+F20+F21</f>
        <v>0</v>
      </c>
      <c r="G18" s="146">
        <f t="shared" si="6"/>
        <v>0</v>
      </c>
      <c r="H18" s="18"/>
      <c r="I18" s="345" t="s">
        <v>59</v>
      </c>
      <c r="J18" s="350" t="s">
        <v>20</v>
      </c>
      <c r="K18" s="350"/>
      <c r="L18" s="146">
        <f>L19+L20+L21</f>
        <v>41429763</v>
      </c>
      <c r="M18" s="147">
        <f>M19+M20+M21</f>
        <v>3464789</v>
      </c>
      <c r="N18" s="154">
        <f>N19+N20+N21</f>
        <v>44894552</v>
      </c>
    </row>
    <row r="19" spans="1:16" s="1" customFormat="1" ht="18" customHeight="1" x14ac:dyDescent="0.2">
      <c r="A19" s="22"/>
      <c r="B19" s="341"/>
      <c r="C19" s="24" t="s">
        <v>1</v>
      </c>
      <c r="D19" s="25" t="s">
        <v>10</v>
      </c>
      <c r="E19" s="148">
        <v>0</v>
      </c>
      <c r="F19" s="149">
        <v>0</v>
      </c>
      <c r="G19" s="150">
        <f t="shared" si="4"/>
        <v>0</v>
      </c>
      <c r="H19" s="18"/>
      <c r="I19" s="346"/>
      <c r="J19" s="24" t="s">
        <v>1</v>
      </c>
      <c r="K19" s="25" t="s">
        <v>10</v>
      </c>
      <c r="L19" s="148">
        <v>41429763</v>
      </c>
      <c r="M19" s="155">
        <f>520000+2860000+11599+12220+12220+48750</f>
        <v>3464789</v>
      </c>
      <c r="N19" s="150">
        <f>+M19+L19</f>
        <v>44894552</v>
      </c>
    </row>
    <row r="20" spans="1:16" s="1" customFormat="1" ht="18" customHeight="1" x14ac:dyDescent="0.2">
      <c r="A20" s="22"/>
      <c r="B20" s="341"/>
      <c r="C20" s="24" t="s">
        <v>2</v>
      </c>
      <c r="D20" s="25" t="s">
        <v>13</v>
      </c>
      <c r="E20" s="148">
        <v>0</v>
      </c>
      <c r="F20" s="149">
        <v>0</v>
      </c>
      <c r="G20" s="150">
        <f t="shared" si="4"/>
        <v>0</v>
      </c>
      <c r="H20" s="18"/>
      <c r="I20" s="346"/>
      <c r="J20" s="24" t="s">
        <v>2</v>
      </c>
      <c r="K20" s="25" t="s">
        <v>13</v>
      </c>
      <c r="L20" s="148">
        <v>0</v>
      </c>
      <c r="M20" s="155">
        <v>0</v>
      </c>
      <c r="N20" s="150">
        <f t="shared" ref="N20:N21" si="7">+M20+L20</f>
        <v>0</v>
      </c>
    </row>
    <row r="21" spans="1:16" s="1" customFormat="1" ht="18" customHeight="1" x14ac:dyDescent="0.2">
      <c r="A21" s="22"/>
      <c r="B21" s="342"/>
      <c r="C21" s="24" t="s">
        <v>4</v>
      </c>
      <c r="D21" s="25" t="s">
        <v>12</v>
      </c>
      <c r="E21" s="148">
        <v>0</v>
      </c>
      <c r="F21" s="149">
        <v>0</v>
      </c>
      <c r="G21" s="150">
        <f t="shared" si="4"/>
        <v>0</v>
      </c>
      <c r="H21" s="18"/>
      <c r="I21" s="347"/>
      <c r="J21" s="24" t="s">
        <v>4</v>
      </c>
      <c r="K21" s="25" t="s">
        <v>12</v>
      </c>
      <c r="L21" s="148">
        <v>0</v>
      </c>
      <c r="M21" s="155">
        <v>0</v>
      </c>
      <c r="N21" s="150">
        <f t="shared" si="7"/>
        <v>0</v>
      </c>
    </row>
    <row r="22" spans="1:16" s="1" customFormat="1" ht="18" customHeight="1" x14ac:dyDescent="0.2">
      <c r="A22" s="22"/>
      <c r="B22" s="340" t="s">
        <v>77</v>
      </c>
      <c r="C22" s="343" t="s">
        <v>38</v>
      </c>
      <c r="D22" s="344"/>
      <c r="E22" s="146">
        <f>E23+E24+E25</f>
        <v>720000</v>
      </c>
      <c r="F22" s="147">
        <f t="shared" ref="F22:G22" si="8">F23+F24+F25</f>
        <v>0</v>
      </c>
      <c r="G22" s="146">
        <f t="shared" si="8"/>
        <v>720000</v>
      </c>
      <c r="H22" s="18"/>
      <c r="I22" s="345" t="s">
        <v>60</v>
      </c>
      <c r="J22" s="350" t="s">
        <v>35</v>
      </c>
      <c r="K22" s="350"/>
      <c r="L22" s="146">
        <f>L23+L24+L25</f>
        <v>77066723</v>
      </c>
      <c r="M22" s="147">
        <f t="shared" ref="M22:N22" si="9">M23+M24+M25</f>
        <v>13465535</v>
      </c>
      <c r="N22" s="154">
        <f t="shared" si="9"/>
        <v>90532258</v>
      </c>
    </row>
    <row r="23" spans="1:16" s="1" customFormat="1" ht="18" customHeight="1" x14ac:dyDescent="0.2">
      <c r="A23" s="22"/>
      <c r="B23" s="341"/>
      <c r="C23" s="24" t="s">
        <v>1</v>
      </c>
      <c r="D23" s="25" t="s">
        <v>10</v>
      </c>
      <c r="E23" s="148">
        <v>720000</v>
      </c>
      <c r="F23" s="149">
        <v>0</v>
      </c>
      <c r="G23" s="150">
        <f t="shared" si="4"/>
        <v>720000</v>
      </c>
      <c r="H23" s="18"/>
      <c r="I23" s="346"/>
      <c r="J23" s="24" t="s">
        <v>1</v>
      </c>
      <c r="K23" s="25" t="s">
        <v>10</v>
      </c>
      <c r="L23" s="148">
        <v>77066723</v>
      </c>
      <c r="M23" s="155">
        <f>13465535</f>
        <v>13465535</v>
      </c>
      <c r="N23" s="150">
        <f>+M23+L23</f>
        <v>90532258</v>
      </c>
    </row>
    <row r="24" spans="1:16" s="1" customFormat="1" ht="18" customHeight="1" x14ac:dyDescent="0.2">
      <c r="A24" s="22"/>
      <c r="B24" s="341"/>
      <c r="C24" s="24" t="s">
        <v>2</v>
      </c>
      <c r="D24" s="25" t="s">
        <v>13</v>
      </c>
      <c r="E24" s="148">
        <v>0</v>
      </c>
      <c r="F24" s="149">
        <v>0</v>
      </c>
      <c r="G24" s="150">
        <f t="shared" si="4"/>
        <v>0</v>
      </c>
      <c r="H24" s="18"/>
      <c r="I24" s="346"/>
      <c r="J24" s="24" t="s">
        <v>2</v>
      </c>
      <c r="K24" s="25" t="s">
        <v>13</v>
      </c>
      <c r="L24" s="148">
        <v>0</v>
      </c>
      <c r="M24" s="155">
        <v>0</v>
      </c>
      <c r="N24" s="150">
        <f t="shared" ref="N24:N35" si="10">+M24+L24</f>
        <v>0</v>
      </c>
    </row>
    <row r="25" spans="1:16" s="1" customFormat="1" ht="18" customHeight="1" x14ac:dyDescent="0.2">
      <c r="A25" s="22"/>
      <c r="B25" s="342"/>
      <c r="C25" s="24" t="s">
        <v>4</v>
      </c>
      <c r="D25" s="25" t="s">
        <v>12</v>
      </c>
      <c r="E25" s="148">
        <v>0</v>
      </c>
      <c r="F25" s="149">
        <v>0</v>
      </c>
      <c r="G25" s="150">
        <f t="shared" si="4"/>
        <v>0</v>
      </c>
      <c r="H25" s="18"/>
      <c r="I25" s="347"/>
      <c r="J25" s="24" t="s">
        <v>4</v>
      </c>
      <c r="K25" s="25" t="s">
        <v>12</v>
      </c>
      <c r="L25" s="148">
        <v>0</v>
      </c>
      <c r="M25" s="155">
        <v>0</v>
      </c>
      <c r="N25" s="150">
        <f t="shared" si="10"/>
        <v>0</v>
      </c>
    </row>
    <row r="26" spans="1:16" s="1" customFormat="1" ht="18" customHeight="1" x14ac:dyDescent="0.2">
      <c r="A26" s="22"/>
      <c r="B26" s="340" t="s">
        <v>79</v>
      </c>
      <c r="C26" s="348" t="s">
        <v>53</v>
      </c>
      <c r="D26" s="349"/>
      <c r="E26" s="146">
        <f>E27+E28+E29</f>
        <v>0</v>
      </c>
      <c r="F26" s="147">
        <f t="shared" ref="F26:G26" si="11">F27+F28+F29</f>
        <v>0</v>
      </c>
      <c r="G26" s="146">
        <f t="shared" si="11"/>
        <v>0</v>
      </c>
      <c r="H26" s="18"/>
      <c r="I26" s="345" t="s">
        <v>61</v>
      </c>
      <c r="J26" s="363" t="s">
        <v>8</v>
      </c>
      <c r="K26" s="363"/>
      <c r="L26" s="146">
        <f>L27+L28+L29</f>
        <v>0</v>
      </c>
      <c r="M26" s="147">
        <f t="shared" ref="M26:N26" si="12">M27+M28+M29</f>
        <v>0</v>
      </c>
      <c r="N26" s="154">
        <f t="shared" si="12"/>
        <v>0</v>
      </c>
    </row>
    <row r="27" spans="1:16" s="1" customFormat="1" ht="18" customHeight="1" x14ac:dyDescent="0.2">
      <c r="A27" s="22"/>
      <c r="B27" s="341"/>
      <c r="C27" s="24" t="s">
        <v>1</v>
      </c>
      <c r="D27" s="25" t="s">
        <v>10</v>
      </c>
      <c r="E27" s="148">
        <v>0</v>
      </c>
      <c r="F27" s="149">
        <v>0</v>
      </c>
      <c r="G27" s="150">
        <f>+F27+E27</f>
        <v>0</v>
      </c>
      <c r="H27" s="18"/>
      <c r="I27" s="346"/>
      <c r="J27" s="24" t="s">
        <v>1</v>
      </c>
      <c r="K27" s="25" t="s">
        <v>10</v>
      </c>
      <c r="L27" s="148">
        <v>0</v>
      </c>
      <c r="M27" s="155">
        <v>0</v>
      </c>
      <c r="N27" s="150">
        <f t="shared" si="10"/>
        <v>0</v>
      </c>
    </row>
    <row r="28" spans="1:16" s="1" customFormat="1" ht="18" customHeight="1" x14ac:dyDescent="0.2">
      <c r="A28" s="22"/>
      <c r="B28" s="341"/>
      <c r="C28" s="24" t="s">
        <v>2</v>
      </c>
      <c r="D28" s="25" t="s">
        <v>13</v>
      </c>
      <c r="E28" s="148">
        <v>0</v>
      </c>
      <c r="F28" s="149">
        <v>0</v>
      </c>
      <c r="G28" s="150">
        <f t="shared" ref="G28:G29" si="13">+F28+E28</f>
        <v>0</v>
      </c>
      <c r="H28" s="18"/>
      <c r="I28" s="346"/>
      <c r="J28" s="24" t="s">
        <v>2</v>
      </c>
      <c r="K28" s="25" t="s">
        <v>13</v>
      </c>
      <c r="L28" s="148">
        <v>0</v>
      </c>
      <c r="M28" s="155">
        <v>0</v>
      </c>
      <c r="N28" s="150">
        <f t="shared" si="10"/>
        <v>0</v>
      </c>
    </row>
    <row r="29" spans="1:16" s="1" customFormat="1" ht="18" customHeight="1" x14ac:dyDescent="0.2">
      <c r="A29" s="23"/>
      <c r="B29" s="342"/>
      <c r="C29" s="24" t="s">
        <v>4</v>
      </c>
      <c r="D29" s="25" t="s">
        <v>12</v>
      </c>
      <c r="E29" s="148">
        <v>0</v>
      </c>
      <c r="F29" s="149">
        <v>0</v>
      </c>
      <c r="G29" s="150">
        <f t="shared" si="13"/>
        <v>0</v>
      </c>
      <c r="H29" s="18"/>
      <c r="I29" s="347"/>
      <c r="J29" s="24" t="s">
        <v>4</v>
      </c>
      <c r="K29" s="25" t="s">
        <v>12</v>
      </c>
      <c r="L29" s="148">
        <v>0</v>
      </c>
      <c r="M29" s="155">
        <v>0</v>
      </c>
      <c r="N29" s="150">
        <f t="shared" si="10"/>
        <v>0</v>
      </c>
    </row>
    <row r="30" spans="1:16" s="1" customFormat="1" ht="18" customHeight="1" x14ac:dyDescent="0.2">
      <c r="A30" s="364"/>
      <c r="B30" s="365"/>
      <c r="C30" s="365"/>
      <c r="D30" s="365"/>
      <c r="E30" s="365"/>
      <c r="F30" s="365"/>
      <c r="G30" s="366"/>
      <c r="H30" s="18"/>
      <c r="I30" s="345" t="s">
        <v>62</v>
      </c>
      <c r="J30" s="350" t="s">
        <v>14</v>
      </c>
      <c r="K30" s="350"/>
      <c r="L30" s="146">
        <f>L31+L34+L35</f>
        <v>0</v>
      </c>
      <c r="M30" s="147">
        <f t="shared" ref="M30:N30" si="14">M31+M34+M35</f>
        <v>0</v>
      </c>
      <c r="N30" s="154">
        <f t="shared" si="14"/>
        <v>0</v>
      </c>
    </row>
    <row r="31" spans="1:16" s="1" customFormat="1" ht="18" customHeight="1" x14ac:dyDescent="0.2">
      <c r="A31" s="367"/>
      <c r="B31" s="368"/>
      <c r="C31" s="368"/>
      <c r="D31" s="368"/>
      <c r="E31" s="368"/>
      <c r="F31" s="368"/>
      <c r="G31" s="369"/>
      <c r="H31" s="18"/>
      <c r="I31" s="346"/>
      <c r="J31" s="24" t="s">
        <v>1</v>
      </c>
      <c r="K31" s="25" t="s">
        <v>10</v>
      </c>
      <c r="L31" s="148">
        <v>0</v>
      </c>
      <c r="M31" s="155">
        <v>0</v>
      </c>
      <c r="N31" s="150">
        <f t="shared" si="10"/>
        <v>0</v>
      </c>
    </row>
    <row r="32" spans="1:16" s="1" customFormat="1" ht="18" customHeight="1" x14ac:dyDescent="0.2">
      <c r="A32" s="367"/>
      <c r="B32" s="368"/>
      <c r="C32" s="368"/>
      <c r="D32" s="368"/>
      <c r="E32" s="368"/>
      <c r="F32" s="368"/>
      <c r="G32" s="369"/>
      <c r="H32" s="18"/>
      <c r="I32" s="346"/>
      <c r="J32" s="41" t="s">
        <v>94</v>
      </c>
      <c r="K32" s="42" t="s">
        <v>96</v>
      </c>
      <c r="L32" s="156">
        <v>0</v>
      </c>
      <c r="M32" s="155">
        <v>0</v>
      </c>
      <c r="N32" s="150">
        <f t="shared" si="10"/>
        <v>0</v>
      </c>
      <c r="O32" s="50"/>
      <c r="P32" s="50"/>
    </row>
    <row r="33" spans="1:14" s="1" customFormat="1" ht="18" customHeight="1" x14ac:dyDescent="0.2">
      <c r="A33" s="367"/>
      <c r="B33" s="368"/>
      <c r="C33" s="368"/>
      <c r="D33" s="368"/>
      <c r="E33" s="368"/>
      <c r="F33" s="368"/>
      <c r="G33" s="369"/>
      <c r="H33" s="18"/>
      <c r="I33" s="346"/>
      <c r="J33" s="41" t="s">
        <v>95</v>
      </c>
      <c r="K33" s="42" t="s">
        <v>97</v>
      </c>
      <c r="L33" s="157">
        <v>0</v>
      </c>
      <c r="M33" s="155">
        <v>0</v>
      </c>
      <c r="N33" s="150">
        <f t="shared" si="10"/>
        <v>0</v>
      </c>
    </row>
    <row r="34" spans="1:14" s="1" customFormat="1" ht="18" customHeight="1" x14ac:dyDescent="0.2">
      <c r="A34" s="367"/>
      <c r="B34" s="368"/>
      <c r="C34" s="368"/>
      <c r="D34" s="368"/>
      <c r="E34" s="368"/>
      <c r="F34" s="368"/>
      <c r="G34" s="369"/>
      <c r="H34" s="18"/>
      <c r="I34" s="346"/>
      <c r="J34" s="24" t="s">
        <v>2</v>
      </c>
      <c r="K34" s="25" t="s">
        <v>13</v>
      </c>
      <c r="L34" s="158">
        <v>0</v>
      </c>
      <c r="M34" s="155">
        <v>0</v>
      </c>
      <c r="N34" s="150">
        <f t="shared" si="10"/>
        <v>0</v>
      </c>
    </row>
    <row r="35" spans="1:14" s="1" customFormat="1" ht="18" customHeight="1" x14ac:dyDescent="0.2">
      <c r="A35" s="370"/>
      <c r="B35" s="371"/>
      <c r="C35" s="371"/>
      <c r="D35" s="371"/>
      <c r="E35" s="371"/>
      <c r="F35" s="371"/>
      <c r="G35" s="372"/>
      <c r="H35" s="17"/>
      <c r="I35" s="347"/>
      <c r="J35" s="24" t="s">
        <v>4</v>
      </c>
      <c r="K35" s="25" t="s">
        <v>12</v>
      </c>
      <c r="L35" s="148">
        <v>0</v>
      </c>
      <c r="M35" s="155">
        <v>0</v>
      </c>
      <c r="N35" s="150">
        <f t="shared" si="10"/>
        <v>0</v>
      </c>
    </row>
    <row r="36" spans="1:14" s="1" customFormat="1" ht="18" customHeight="1" x14ac:dyDescent="0.2">
      <c r="A36" s="43" t="s">
        <v>0</v>
      </c>
      <c r="B36" s="329" t="s">
        <v>23</v>
      </c>
      <c r="C36" s="330"/>
      <c r="D36" s="331"/>
      <c r="E36" s="165">
        <f>+E37+E38+E39</f>
        <v>720000</v>
      </c>
      <c r="F36" s="165">
        <f t="shared" ref="F36:G36" si="15">+F37+F38+F39</f>
        <v>34218660</v>
      </c>
      <c r="G36" s="165">
        <f t="shared" si="15"/>
        <v>34938660</v>
      </c>
      <c r="H36" s="44" t="s">
        <v>0</v>
      </c>
      <c r="I36" s="373" t="s">
        <v>18</v>
      </c>
      <c r="J36" s="374"/>
      <c r="K36" s="374"/>
      <c r="L36" s="159">
        <f>+L37+L38+L39</f>
        <v>388658507</v>
      </c>
      <c r="M36" s="159">
        <f t="shared" ref="M36:N36" si="16">+M37+M38+M39</f>
        <v>43587945</v>
      </c>
      <c r="N36" s="160">
        <f t="shared" si="16"/>
        <v>432246452</v>
      </c>
    </row>
    <row r="37" spans="1:14" s="1" customFormat="1" ht="18" customHeight="1" x14ac:dyDescent="0.2">
      <c r="A37" s="30"/>
      <c r="B37" s="375" t="s">
        <v>82</v>
      </c>
      <c r="C37" s="31" t="s">
        <v>1</v>
      </c>
      <c r="D37" s="32" t="s">
        <v>10</v>
      </c>
      <c r="E37" s="161">
        <f t="shared" ref="E37:G39" si="17">+E27+E23+E19+E15</f>
        <v>720000</v>
      </c>
      <c r="F37" s="161">
        <f t="shared" si="17"/>
        <v>34218660</v>
      </c>
      <c r="G37" s="161">
        <f t="shared" si="17"/>
        <v>34938660</v>
      </c>
      <c r="H37" s="337"/>
      <c r="I37" s="378" t="s">
        <v>81</v>
      </c>
      <c r="J37" s="31" t="s">
        <v>1</v>
      </c>
      <c r="K37" s="32" t="s">
        <v>10</v>
      </c>
      <c r="L37" s="161">
        <f>+L31+L27+L23+L19+L15</f>
        <v>388658507</v>
      </c>
      <c r="M37" s="161">
        <f t="shared" ref="M37:N37" si="18">+M31+M27+M23+M19+M15</f>
        <v>43587945</v>
      </c>
      <c r="N37" s="162">
        <f t="shared" si="18"/>
        <v>432246452</v>
      </c>
    </row>
    <row r="38" spans="1:14" s="1" customFormat="1" ht="18" customHeight="1" x14ac:dyDescent="0.2">
      <c r="A38" s="30"/>
      <c r="B38" s="376"/>
      <c r="C38" s="31" t="s">
        <v>2</v>
      </c>
      <c r="D38" s="32" t="s">
        <v>13</v>
      </c>
      <c r="E38" s="161">
        <f t="shared" si="17"/>
        <v>0</v>
      </c>
      <c r="F38" s="161">
        <f t="shared" si="17"/>
        <v>0</v>
      </c>
      <c r="G38" s="161">
        <f t="shared" si="17"/>
        <v>0</v>
      </c>
      <c r="H38" s="337"/>
      <c r="I38" s="378"/>
      <c r="J38" s="31" t="s">
        <v>2</v>
      </c>
      <c r="K38" s="32" t="s">
        <v>13</v>
      </c>
      <c r="L38" s="161">
        <f>+L34+L28+L24+L20+L16</f>
        <v>0</v>
      </c>
      <c r="M38" s="161">
        <f t="shared" ref="M38:N39" si="19">+M34+M28+M24+M20+M16</f>
        <v>0</v>
      </c>
      <c r="N38" s="162">
        <f t="shared" si="19"/>
        <v>0</v>
      </c>
    </row>
    <row r="39" spans="1:14" s="1" customFormat="1" ht="18" customHeight="1" x14ac:dyDescent="0.2">
      <c r="A39" s="33"/>
      <c r="B39" s="377"/>
      <c r="C39" s="31" t="s">
        <v>4</v>
      </c>
      <c r="D39" s="32" t="s">
        <v>12</v>
      </c>
      <c r="E39" s="161">
        <f t="shared" si="17"/>
        <v>0</v>
      </c>
      <c r="F39" s="161">
        <f t="shared" si="17"/>
        <v>0</v>
      </c>
      <c r="G39" s="161">
        <f t="shared" si="17"/>
        <v>0</v>
      </c>
      <c r="H39" s="338"/>
      <c r="I39" s="378"/>
      <c r="J39" s="31" t="s">
        <v>4</v>
      </c>
      <c r="K39" s="32" t="s">
        <v>12</v>
      </c>
      <c r="L39" s="163">
        <f t="shared" ref="L39" si="20">+L35+L29+L25+L21+L17</f>
        <v>0</v>
      </c>
      <c r="M39" s="163">
        <f t="shared" si="19"/>
        <v>0</v>
      </c>
      <c r="N39" s="164">
        <f t="shared" si="19"/>
        <v>0</v>
      </c>
    </row>
    <row r="40" spans="1:14" s="49" customFormat="1" ht="30.75" customHeight="1" thickBot="1" x14ac:dyDescent="0.25">
      <c r="A40" s="360" t="s">
        <v>98</v>
      </c>
      <c r="B40" s="361"/>
      <c r="C40" s="361"/>
      <c r="D40" s="362"/>
      <c r="E40" s="172">
        <f>+L36-E36</f>
        <v>387938507</v>
      </c>
      <c r="F40" s="172">
        <f t="shared" ref="F40:G40" si="21">+M36-F36</f>
        <v>9369285</v>
      </c>
      <c r="G40" s="172">
        <f t="shared" si="21"/>
        <v>397307792</v>
      </c>
      <c r="H40" s="360" t="s">
        <v>99</v>
      </c>
      <c r="I40" s="361"/>
      <c r="J40" s="361"/>
      <c r="K40" s="362"/>
      <c r="L40" s="173"/>
      <c r="M40" s="173"/>
      <c r="N40" s="174"/>
    </row>
    <row r="41" spans="1:14" s="1" customFormat="1" ht="18" customHeight="1" x14ac:dyDescent="0.2">
      <c r="A41" s="351" t="s">
        <v>52</v>
      </c>
      <c r="B41" s="352"/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353"/>
    </row>
    <row r="42" spans="1:14" s="1" customFormat="1" ht="18" customHeight="1" x14ac:dyDescent="0.2">
      <c r="A42" s="21" t="s">
        <v>3</v>
      </c>
      <c r="B42" s="354" t="s">
        <v>24</v>
      </c>
      <c r="C42" s="355"/>
      <c r="D42" s="356"/>
      <c r="E42" s="146">
        <f>E43+E47+E51</f>
        <v>0</v>
      </c>
      <c r="F42" s="147">
        <f t="shared" ref="F42:G42" si="22">F43+F47+F51</f>
        <v>0</v>
      </c>
      <c r="G42" s="146">
        <f t="shared" si="22"/>
        <v>0</v>
      </c>
      <c r="H42" s="19" t="s">
        <v>3</v>
      </c>
      <c r="I42" s="357" t="s">
        <v>22</v>
      </c>
      <c r="J42" s="358"/>
      <c r="K42" s="359"/>
      <c r="L42" s="151">
        <f>L43+L47+L51</f>
        <v>635000</v>
      </c>
      <c r="M42" s="152">
        <f t="shared" ref="M42:N42" si="23">M43+M47+M51</f>
        <v>1500000</v>
      </c>
      <c r="N42" s="153">
        <f t="shared" si="23"/>
        <v>2135000</v>
      </c>
    </row>
    <row r="43" spans="1:14" s="1" customFormat="1" ht="18" customHeight="1" x14ac:dyDescent="0.2">
      <c r="A43" s="22"/>
      <c r="B43" s="340" t="s">
        <v>75</v>
      </c>
      <c r="C43" s="343" t="s">
        <v>56</v>
      </c>
      <c r="D43" s="344"/>
      <c r="E43" s="146">
        <f>E44+E45+E46</f>
        <v>0</v>
      </c>
      <c r="F43" s="147">
        <f t="shared" ref="F43:G43" si="24">F44+F45+F46</f>
        <v>0</v>
      </c>
      <c r="G43" s="146">
        <f t="shared" si="24"/>
        <v>0</v>
      </c>
      <c r="H43" s="18"/>
      <c r="I43" s="345" t="s">
        <v>64</v>
      </c>
      <c r="J43" s="348" t="s">
        <v>15</v>
      </c>
      <c r="K43" s="349"/>
      <c r="L43" s="146">
        <f>L44+L45+L46</f>
        <v>635000</v>
      </c>
      <c r="M43" s="147">
        <f t="shared" ref="M43:N43" si="25">M44+M45+M46</f>
        <v>1500000</v>
      </c>
      <c r="N43" s="154">
        <f t="shared" si="25"/>
        <v>2135000</v>
      </c>
    </row>
    <row r="44" spans="1:14" s="1" customFormat="1" ht="18" customHeight="1" x14ac:dyDescent="0.2">
      <c r="A44" s="22"/>
      <c r="B44" s="341"/>
      <c r="C44" s="24" t="s">
        <v>1</v>
      </c>
      <c r="D44" s="25" t="s">
        <v>10</v>
      </c>
      <c r="E44" s="148">
        <v>0</v>
      </c>
      <c r="F44" s="149">
        <v>0</v>
      </c>
      <c r="G44" s="150">
        <f>+F44+E44</f>
        <v>0</v>
      </c>
      <c r="H44" s="18"/>
      <c r="I44" s="346"/>
      <c r="J44" s="24" t="s">
        <v>1</v>
      </c>
      <c r="K44" s="25" t="s">
        <v>10</v>
      </c>
      <c r="L44" s="148">
        <v>635000</v>
      </c>
      <c r="M44" s="155">
        <v>1500000</v>
      </c>
      <c r="N44" s="150">
        <f>+M44+L44</f>
        <v>2135000</v>
      </c>
    </row>
    <row r="45" spans="1:14" s="1" customFormat="1" ht="18" customHeight="1" x14ac:dyDescent="0.2">
      <c r="A45" s="22"/>
      <c r="B45" s="341"/>
      <c r="C45" s="24" t="s">
        <v>2</v>
      </c>
      <c r="D45" s="25" t="s">
        <v>13</v>
      </c>
      <c r="E45" s="148">
        <v>0</v>
      </c>
      <c r="F45" s="149">
        <v>0</v>
      </c>
      <c r="G45" s="150">
        <f t="shared" ref="G45:G46" si="26">+F45+E45</f>
        <v>0</v>
      </c>
      <c r="H45" s="18"/>
      <c r="I45" s="346"/>
      <c r="J45" s="24" t="s">
        <v>2</v>
      </c>
      <c r="K45" s="25" t="s">
        <v>13</v>
      </c>
      <c r="L45" s="148">
        <v>0</v>
      </c>
      <c r="M45" s="155">
        <v>0</v>
      </c>
      <c r="N45" s="150">
        <f t="shared" ref="N45:N46" si="27">+M45+L45</f>
        <v>0</v>
      </c>
    </row>
    <row r="46" spans="1:14" s="1" customFormat="1" ht="18" customHeight="1" x14ac:dyDescent="0.2">
      <c r="A46" s="22"/>
      <c r="B46" s="342"/>
      <c r="C46" s="24" t="s">
        <v>4</v>
      </c>
      <c r="D46" s="25" t="s">
        <v>12</v>
      </c>
      <c r="E46" s="148">
        <v>0</v>
      </c>
      <c r="F46" s="149">
        <v>0</v>
      </c>
      <c r="G46" s="150">
        <f t="shared" si="26"/>
        <v>0</v>
      </c>
      <c r="H46" s="18"/>
      <c r="I46" s="347"/>
      <c r="J46" s="24" t="s">
        <v>4</v>
      </c>
      <c r="K46" s="25" t="s">
        <v>12</v>
      </c>
      <c r="L46" s="148">
        <v>0</v>
      </c>
      <c r="M46" s="155">
        <v>0</v>
      </c>
      <c r="N46" s="150">
        <f t="shared" si="27"/>
        <v>0</v>
      </c>
    </row>
    <row r="47" spans="1:14" s="1" customFormat="1" ht="18" customHeight="1" x14ac:dyDescent="0.2">
      <c r="A47" s="22"/>
      <c r="B47" s="340" t="s">
        <v>78</v>
      </c>
      <c r="C47" s="343" t="s">
        <v>25</v>
      </c>
      <c r="D47" s="344"/>
      <c r="E47" s="146">
        <f>E48+E49+E50</f>
        <v>0</v>
      </c>
      <c r="F47" s="147">
        <f t="shared" ref="F47:G47" si="28">F48+F49+F50</f>
        <v>0</v>
      </c>
      <c r="G47" s="146">
        <f t="shared" si="28"/>
        <v>0</v>
      </c>
      <c r="H47" s="18"/>
      <c r="I47" s="345" t="s">
        <v>65</v>
      </c>
      <c r="J47" s="343" t="s">
        <v>16</v>
      </c>
      <c r="K47" s="344"/>
      <c r="L47" s="146">
        <f>L48+L49+L50</f>
        <v>0</v>
      </c>
      <c r="M47" s="147">
        <f t="shared" ref="M47:N47" si="29">M48+M49+M50</f>
        <v>0</v>
      </c>
      <c r="N47" s="154">
        <f t="shared" si="29"/>
        <v>0</v>
      </c>
    </row>
    <row r="48" spans="1:14" s="1" customFormat="1" ht="18" customHeight="1" x14ac:dyDescent="0.2">
      <c r="A48" s="22"/>
      <c r="B48" s="341"/>
      <c r="C48" s="24" t="s">
        <v>1</v>
      </c>
      <c r="D48" s="25" t="s">
        <v>10</v>
      </c>
      <c r="E48" s="148">
        <v>0</v>
      </c>
      <c r="F48" s="149">
        <v>0</v>
      </c>
      <c r="G48" s="150">
        <f>+F48+E48</f>
        <v>0</v>
      </c>
      <c r="H48" s="18"/>
      <c r="I48" s="346"/>
      <c r="J48" s="24" t="s">
        <v>1</v>
      </c>
      <c r="K48" s="25" t="s">
        <v>10</v>
      </c>
      <c r="L48" s="148">
        <v>0</v>
      </c>
      <c r="M48" s="155">
        <v>0</v>
      </c>
      <c r="N48" s="150">
        <f>+M48+L48</f>
        <v>0</v>
      </c>
    </row>
    <row r="49" spans="1:14" s="1" customFormat="1" ht="18" customHeight="1" x14ac:dyDescent="0.2">
      <c r="A49" s="22"/>
      <c r="B49" s="341"/>
      <c r="C49" s="24" t="s">
        <v>2</v>
      </c>
      <c r="D49" s="25" t="s">
        <v>13</v>
      </c>
      <c r="E49" s="148">
        <v>0</v>
      </c>
      <c r="F49" s="149">
        <v>0</v>
      </c>
      <c r="G49" s="150">
        <f t="shared" ref="G49:G50" si="30">+F49+E49</f>
        <v>0</v>
      </c>
      <c r="H49" s="18"/>
      <c r="I49" s="346"/>
      <c r="J49" s="24" t="s">
        <v>2</v>
      </c>
      <c r="K49" s="25" t="s">
        <v>13</v>
      </c>
      <c r="L49" s="148">
        <v>0</v>
      </c>
      <c r="M49" s="155">
        <v>0</v>
      </c>
      <c r="N49" s="150">
        <f t="shared" ref="N49:N50" si="31">+M49+L49</f>
        <v>0</v>
      </c>
    </row>
    <row r="50" spans="1:14" s="1" customFormat="1" ht="18" customHeight="1" x14ac:dyDescent="0.2">
      <c r="A50" s="22"/>
      <c r="B50" s="342"/>
      <c r="C50" s="24" t="s">
        <v>4</v>
      </c>
      <c r="D50" s="25" t="s">
        <v>12</v>
      </c>
      <c r="E50" s="148">
        <v>0</v>
      </c>
      <c r="F50" s="149">
        <v>0</v>
      </c>
      <c r="G50" s="150">
        <f t="shared" si="30"/>
        <v>0</v>
      </c>
      <c r="H50" s="18"/>
      <c r="I50" s="347"/>
      <c r="J50" s="24" t="s">
        <v>4</v>
      </c>
      <c r="K50" s="25" t="s">
        <v>12</v>
      </c>
      <c r="L50" s="148">
        <v>0</v>
      </c>
      <c r="M50" s="155">
        <v>0</v>
      </c>
      <c r="N50" s="150">
        <f t="shared" si="31"/>
        <v>0</v>
      </c>
    </row>
    <row r="51" spans="1:14" s="1" customFormat="1" ht="18" customHeight="1" x14ac:dyDescent="0.2">
      <c r="A51" s="22"/>
      <c r="B51" s="340" t="s">
        <v>80</v>
      </c>
      <c r="C51" s="348" t="s">
        <v>55</v>
      </c>
      <c r="D51" s="349"/>
      <c r="E51" s="146">
        <f>E52+E53+E54</f>
        <v>0</v>
      </c>
      <c r="F51" s="147">
        <f t="shared" ref="F51:G51" si="32">F52+F53+F54</f>
        <v>0</v>
      </c>
      <c r="G51" s="146">
        <f t="shared" si="32"/>
        <v>0</v>
      </c>
      <c r="H51" s="18"/>
      <c r="I51" s="345" t="s">
        <v>66</v>
      </c>
      <c r="J51" s="350" t="s">
        <v>67</v>
      </c>
      <c r="K51" s="350"/>
      <c r="L51" s="146">
        <f>L52+L53+L54</f>
        <v>0</v>
      </c>
      <c r="M51" s="147">
        <f t="shared" ref="M51:N51" si="33">M52+M53+M54</f>
        <v>0</v>
      </c>
      <c r="N51" s="154">
        <f t="shared" si="33"/>
        <v>0</v>
      </c>
    </row>
    <row r="52" spans="1:14" s="1" customFormat="1" ht="18" customHeight="1" x14ac:dyDescent="0.2">
      <c r="A52" s="22"/>
      <c r="B52" s="341"/>
      <c r="C52" s="24" t="s">
        <v>1</v>
      </c>
      <c r="D52" s="25" t="s">
        <v>10</v>
      </c>
      <c r="E52" s="148">
        <v>0</v>
      </c>
      <c r="F52" s="149">
        <v>0</v>
      </c>
      <c r="G52" s="150">
        <f>+F52+E52</f>
        <v>0</v>
      </c>
      <c r="H52" s="18"/>
      <c r="I52" s="346"/>
      <c r="J52" s="24" t="s">
        <v>1</v>
      </c>
      <c r="K52" s="25" t="s">
        <v>10</v>
      </c>
      <c r="L52" s="148">
        <v>0</v>
      </c>
      <c r="M52" s="155">
        <v>0</v>
      </c>
      <c r="N52" s="150">
        <f>+M52+L52</f>
        <v>0</v>
      </c>
    </row>
    <row r="53" spans="1:14" s="1" customFormat="1" ht="18" customHeight="1" x14ac:dyDescent="0.2">
      <c r="A53" s="22"/>
      <c r="B53" s="341"/>
      <c r="C53" s="24" t="s">
        <v>2</v>
      </c>
      <c r="D53" s="25" t="s">
        <v>13</v>
      </c>
      <c r="E53" s="148">
        <v>0</v>
      </c>
      <c r="F53" s="149">
        <v>0</v>
      </c>
      <c r="G53" s="150">
        <f t="shared" ref="G53:G54" si="34">+F53+E53</f>
        <v>0</v>
      </c>
      <c r="H53" s="18"/>
      <c r="I53" s="346"/>
      <c r="J53" s="24" t="s">
        <v>2</v>
      </c>
      <c r="K53" s="25" t="s">
        <v>13</v>
      </c>
      <c r="L53" s="148">
        <v>0</v>
      </c>
      <c r="M53" s="155">
        <v>0</v>
      </c>
      <c r="N53" s="150">
        <f t="shared" ref="N53:N54" si="35">+M53+L53</f>
        <v>0</v>
      </c>
    </row>
    <row r="54" spans="1:14" s="1" customFormat="1" ht="18" customHeight="1" x14ac:dyDescent="0.2">
      <c r="A54" s="23"/>
      <c r="B54" s="342"/>
      <c r="C54" s="24" t="s">
        <v>4</v>
      </c>
      <c r="D54" s="25" t="s">
        <v>12</v>
      </c>
      <c r="E54" s="148">
        <v>0</v>
      </c>
      <c r="F54" s="149">
        <v>0</v>
      </c>
      <c r="G54" s="150">
        <f t="shared" si="34"/>
        <v>0</v>
      </c>
      <c r="H54" s="17"/>
      <c r="I54" s="347"/>
      <c r="J54" s="24" t="s">
        <v>4</v>
      </c>
      <c r="K54" s="25" t="s">
        <v>12</v>
      </c>
      <c r="L54" s="148">
        <v>0</v>
      </c>
      <c r="M54" s="155">
        <v>0</v>
      </c>
      <c r="N54" s="150">
        <f t="shared" si="35"/>
        <v>0</v>
      </c>
    </row>
    <row r="55" spans="1:14" s="1" customFormat="1" ht="18" customHeight="1" x14ac:dyDescent="0.2">
      <c r="A55" s="28" t="s">
        <v>3</v>
      </c>
      <c r="B55" s="320" t="s">
        <v>26</v>
      </c>
      <c r="C55" s="321"/>
      <c r="D55" s="322"/>
      <c r="E55" s="159">
        <f>E56+E57+E58</f>
        <v>0</v>
      </c>
      <c r="F55" s="159">
        <f t="shared" ref="F55:G55" si="36">F56+F57+F58</f>
        <v>0</v>
      </c>
      <c r="G55" s="159">
        <f t="shared" si="36"/>
        <v>0</v>
      </c>
      <c r="H55" s="29" t="s">
        <v>3</v>
      </c>
      <c r="I55" s="320" t="s">
        <v>19</v>
      </c>
      <c r="J55" s="321"/>
      <c r="K55" s="322"/>
      <c r="L55" s="159">
        <f>L56+L57+L58</f>
        <v>635000</v>
      </c>
      <c r="M55" s="159">
        <f t="shared" ref="M55:N55" si="37">M56+M57+M58</f>
        <v>1500000</v>
      </c>
      <c r="N55" s="160">
        <f t="shared" si="37"/>
        <v>2135000</v>
      </c>
    </row>
    <row r="56" spans="1:14" s="1" customFormat="1" ht="18" customHeight="1" x14ac:dyDescent="0.2">
      <c r="A56" s="30"/>
      <c r="B56" s="323" t="s">
        <v>83</v>
      </c>
      <c r="C56" s="31" t="s">
        <v>1</v>
      </c>
      <c r="D56" s="32" t="s">
        <v>10</v>
      </c>
      <c r="E56" s="166">
        <f t="shared" ref="E56:E58" si="38">E44+E48+E52</f>
        <v>0</v>
      </c>
      <c r="F56" s="161">
        <f t="shared" ref="F56:G58" si="39">F44+F48+F52</f>
        <v>0</v>
      </c>
      <c r="G56" s="161">
        <f t="shared" si="39"/>
        <v>0</v>
      </c>
      <c r="H56" s="34"/>
      <c r="I56" s="325" t="s">
        <v>68</v>
      </c>
      <c r="J56" s="31" t="s">
        <v>1</v>
      </c>
      <c r="K56" s="32" t="s">
        <v>10</v>
      </c>
      <c r="L56" s="161">
        <f t="shared" ref="L56:N58" si="40">L44+L48+L52</f>
        <v>635000</v>
      </c>
      <c r="M56" s="161">
        <f t="shared" si="40"/>
        <v>1500000</v>
      </c>
      <c r="N56" s="162">
        <f t="shared" si="40"/>
        <v>2135000</v>
      </c>
    </row>
    <row r="57" spans="1:14" s="1" customFormat="1" ht="18" customHeight="1" x14ac:dyDescent="0.2">
      <c r="A57" s="30"/>
      <c r="B57" s="324"/>
      <c r="C57" s="31" t="s">
        <v>2</v>
      </c>
      <c r="D57" s="32" t="s">
        <v>13</v>
      </c>
      <c r="E57" s="166">
        <f t="shared" si="38"/>
        <v>0</v>
      </c>
      <c r="F57" s="161">
        <f t="shared" si="39"/>
        <v>0</v>
      </c>
      <c r="G57" s="161">
        <f t="shared" si="39"/>
        <v>0</v>
      </c>
      <c r="H57" s="34"/>
      <c r="I57" s="325"/>
      <c r="J57" s="31" t="s">
        <v>2</v>
      </c>
      <c r="K57" s="32" t="s">
        <v>13</v>
      </c>
      <c r="L57" s="161">
        <f t="shared" si="40"/>
        <v>0</v>
      </c>
      <c r="M57" s="161">
        <f t="shared" si="40"/>
        <v>0</v>
      </c>
      <c r="N57" s="162">
        <f t="shared" si="40"/>
        <v>0</v>
      </c>
    </row>
    <row r="58" spans="1:14" s="1" customFormat="1" ht="18" customHeight="1" x14ac:dyDescent="0.2">
      <c r="A58" s="30"/>
      <c r="B58" s="324"/>
      <c r="C58" s="38" t="s">
        <v>4</v>
      </c>
      <c r="D58" s="39" t="s">
        <v>12</v>
      </c>
      <c r="E58" s="161">
        <f t="shared" si="38"/>
        <v>0</v>
      </c>
      <c r="F58" s="161">
        <f t="shared" si="39"/>
        <v>0</v>
      </c>
      <c r="G58" s="161">
        <f t="shared" si="39"/>
        <v>0</v>
      </c>
      <c r="H58" s="34"/>
      <c r="I58" s="326"/>
      <c r="J58" s="38" t="s">
        <v>4</v>
      </c>
      <c r="K58" s="39" t="s">
        <v>12</v>
      </c>
      <c r="L58" s="163">
        <f t="shared" si="40"/>
        <v>0</v>
      </c>
      <c r="M58" s="163">
        <f t="shared" si="40"/>
        <v>0</v>
      </c>
      <c r="N58" s="164">
        <f t="shared" si="40"/>
        <v>0</v>
      </c>
    </row>
    <row r="59" spans="1:14" s="48" customFormat="1" ht="31.5" customHeight="1" thickBot="1" x14ac:dyDescent="0.25">
      <c r="A59" s="392" t="s">
        <v>100</v>
      </c>
      <c r="B59" s="393"/>
      <c r="C59" s="393"/>
      <c r="D59" s="393"/>
      <c r="E59" s="175">
        <f>+L55-E55</f>
        <v>635000</v>
      </c>
      <c r="F59" s="175">
        <f t="shared" ref="F59:G59" si="41">+M55-F55</f>
        <v>1500000</v>
      </c>
      <c r="G59" s="175">
        <f t="shared" si="41"/>
        <v>2135000</v>
      </c>
      <c r="H59" s="392" t="s">
        <v>101</v>
      </c>
      <c r="I59" s="393"/>
      <c r="J59" s="393"/>
      <c r="K59" s="393"/>
      <c r="L59" s="176"/>
      <c r="M59" s="177"/>
      <c r="N59" s="178"/>
    </row>
    <row r="60" spans="1:14" s="1" customFormat="1" ht="18" customHeight="1" x14ac:dyDescent="0.2">
      <c r="A60" s="40" t="s">
        <v>41</v>
      </c>
      <c r="B60" s="394" t="s">
        <v>42</v>
      </c>
      <c r="C60" s="395"/>
      <c r="D60" s="396"/>
      <c r="E60" s="167">
        <f>E61+E62+E63</f>
        <v>720000</v>
      </c>
      <c r="F60" s="167">
        <f t="shared" ref="F60:G60" si="42">F61+F62+F63</f>
        <v>34218660</v>
      </c>
      <c r="G60" s="167">
        <f t="shared" si="42"/>
        <v>34938660</v>
      </c>
      <c r="H60" s="40" t="s">
        <v>41</v>
      </c>
      <c r="I60" s="332" t="s">
        <v>44</v>
      </c>
      <c r="J60" s="333"/>
      <c r="K60" s="333"/>
      <c r="L60" s="167">
        <f>L61+L62+L63</f>
        <v>389293507</v>
      </c>
      <c r="M60" s="167">
        <f t="shared" ref="M60:N60" si="43">M61+M62+M63</f>
        <v>45087945</v>
      </c>
      <c r="N60" s="169">
        <f t="shared" si="43"/>
        <v>434381452</v>
      </c>
    </row>
    <row r="61" spans="1:14" s="1" customFormat="1" ht="18" customHeight="1" x14ac:dyDescent="0.2">
      <c r="A61" s="30"/>
      <c r="B61" s="334" t="s">
        <v>85</v>
      </c>
      <c r="C61" s="31" t="s">
        <v>1</v>
      </c>
      <c r="D61" s="32" t="s">
        <v>10</v>
      </c>
      <c r="E61" s="163">
        <f t="shared" ref="E61:G63" si="44">E37+E56</f>
        <v>720000</v>
      </c>
      <c r="F61" s="163">
        <f t="shared" si="44"/>
        <v>34218660</v>
      </c>
      <c r="G61" s="163">
        <f t="shared" si="44"/>
        <v>34938660</v>
      </c>
      <c r="H61" s="337"/>
      <c r="I61" s="339" t="s">
        <v>84</v>
      </c>
      <c r="J61" s="31" t="s">
        <v>1</v>
      </c>
      <c r="K61" s="32" t="s">
        <v>10</v>
      </c>
      <c r="L61" s="163">
        <f t="shared" ref="L61:N63" si="45">L37+L56</f>
        <v>389293507</v>
      </c>
      <c r="M61" s="163">
        <f t="shared" si="45"/>
        <v>45087945</v>
      </c>
      <c r="N61" s="164">
        <f t="shared" si="45"/>
        <v>434381452</v>
      </c>
    </row>
    <row r="62" spans="1:14" s="1" customFormat="1" ht="18" customHeight="1" x14ac:dyDescent="0.2">
      <c r="A62" s="30"/>
      <c r="B62" s="335"/>
      <c r="C62" s="31" t="s">
        <v>2</v>
      </c>
      <c r="D62" s="32" t="s">
        <v>13</v>
      </c>
      <c r="E62" s="163">
        <f>E38+E57</f>
        <v>0</v>
      </c>
      <c r="F62" s="163">
        <f t="shared" si="44"/>
        <v>0</v>
      </c>
      <c r="G62" s="163">
        <f t="shared" si="44"/>
        <v>0</v>
      </c>
      <c r="H62" s="337"/>
      <c r="I62" s="339"/>
      <c r="J62" s="31" t="s">
        <v>2</v>
      </c>
      <c r="K62" s="32" t="s">
        <v>13</v>
      </c>
      <c r="L62" s="163">
        <f t="shared" si="45"/>
        <v>0</v>
      </c>
      <c r="M62" s="163">
        <f t="shared" si="45"/>
        <v>0</v>
      </c>
      <c r="N62" s="164">
        <f t="shared" si="45"/>
        <v>0</v>
      </c>
    </row>
    <row r="63" spans="1:14" s="1" customFormat="1" ht="18" customHeight="1" x14ac:dyDescent="0.2">
      <c r="A63" s="33"/>
      <c r="B63" s="336"/>
      <c r="C63" s="31" t="s">
        <v>4</v>
      </c>
      <c r="D63" s="32" t="s">
        <v>12</v>
      </c>
      <c r="E63" s="161">
        <f>E39+E58</f>
        <v>0</v>
      </c>
      <c r="F63" s="161">
        <f t="shared" si="44"/>
        <v>0</v>
      </c>
      <c r="G63" s="161">
        <f t="shared" si="44"/>
        <v>0</v>
      </c>
      <c r="H63" s="338"/>
      <c r="I63" s="339"/>
      <c r="J63" s="31" t="s">
        <v>4</v>
      </c>
      <c r="K63" s="32" t="s">
        <v>12</v>
      </c>
      <c r="L63" s="161">
        <f t="shared" si="45"/>
        <v>0</v>
      </c>
      <c r="M63" s="161">
        <f t="shared" si="45"/>
        <v>0</v>
      </c>
      <c r="N63" s="162">
        <f t="shared" si="45"/>
        <v>0</v>
      </c>
    </row>
    <row r="64" spans="1:14" s="11" customFormat="1" ht="30" customHeight="1" thickBot="1" x14ac:dyDescent="0.25">
      <c r="A64" s="317" t="s">
        <v>72</v>
      </c>
      <c r="B64" s="318"/>
      <c r="C64" s="318"/>
      <c r="D64" s="319"/>
      <c r="E64" s="175">
        <f>+L60-E60</f>
        <v>388573507</v>
      </c>
      <c r="F64" s="175">
        <f>M60-F60</f>
        <v>10869285</v>
      </c>
      <c r="G64" s="175">
        <f>+N60-G60</f>
        <v>399442792</v>
      </c>
      <c r="H64" s="317" t="s">
        <v>73</v>
      </c>
      <c r="I64" s="318"/>
      <c r="J64" s="318"/>
      <c r="K64" s="319"/>
      <c r="L64" s="179"/>
      <c r="M64" s="179"/>
      <c r="N64" s="180"/>
    </row>
    <row r="65" spans="1:14" s="1" customFormat="1" ht="18" customHeight="1" x14ac:dyDescent="0.2">
      <c r="A65" s="47" t="s">
        <v>45</v>
      </c>
      <c r="B65" s="306" t="s">
        <v>43</v>
      </c>
      <c r="C65" s="307"/>
      <c r="D65" s="308"/>
      <c r="E65" s="168">
        <f>E66+E67</f>
        <v>388573507</v>
      </c>
      <c r="F65" s="168">
        <f t="shared" ref="F65:G65" si="46">F66+F67</f>
        <v>10869285</v>
      </c>
      <c r="G65" s="168">
        <f t="shared" si="46"/>
        <v>399442792</v>
      </c>
      <c r="H65" s="59" t="s">
        <v>45</v>
      </c>
      <c r="I65" s="309" t="s">
        <v>57</v>
      </c>
      <c r="J65" s="310"/>
      <c r="K65" s="311"/>
      <c r="L65" s="170">
        <f>L66+L67</f>
        <v>0</v>
      </c>
      <c r="M65" s="170">
        <f t="shared" ref="M65:N65" si="47">M66+M67</f>
        <v>0</v>
      </c>
      <c r="N65" s="171">
        <f t="shared" si="47"/>
        <v>0</v>
      </c>
    </row>
    <row r="66" spans="1:14" s="1" customFormat="1" ht="18" customHeight="1" x14ac:dyDescent="0.2">
      <c r="A66" s="35"/>
      <c r="B66" s="312" t="s">
        <v>74</v>
      </c>
      <c r="C66" s="24" t="s">
        <v>1</v>
      </c>
      <c r="D66" s="25" t="s">
        <v>86</v>
      </c>
      <c r="E66" s="148">
        <v>0</v>
      </c>
      <c r="F66" s="149">
        <v>19485535</v>
      </c>
      <c r="G66" s="150">
        <f>+F66+E66</f>
        <v>19485535</v>
      </c>
      <c r="H66" s="35"/>
      <c r="I66" s="312" t="s">
        <v>69</v>
      </c>
      <c r="J66" s="24" t="s">
        <v>1</v>
      </c>
      <c r="K66" s="25"/>
      <c r="L66" s="148"/>
      <c r="M66" s="62"/>
      <c r="N66" s="150"/>
    </row>
    <row r="67" spans="1:14" s="1" customFormat="1" ht="18" customHeight="1" x14ac:dyDescent="0.2">
      <c r="A67" s="35"/>
      <c r="B67" s="313"/>
      <c r="C67" s="24" t="s">
        <v>2</v>
      </c>
      <c r="D67" s="25" t="s">
        <v>89</v>
      </c>
      <c r="E67" s="148">
        <v>388573507</v>
      </c>
      <c r="F67" s="149">
        <f>-33900000+24860000+423750</f>
        <v>-8616250</v>
      </c>
      <c r="G67" s="150">
        <f>+F67+E67</f>
        <v>379957257</v>
      </c>
      <c r="H67" s="35"/>
      <c r="I67" s="313"/>
      <c r="J67" s="24" t="s">
        <v>2</v>
      </c>
      <c r="K67" s="25"/>
      <c r="L67" s="148"/>
      <c r="M67" s="62"/>
      <c r="N67" s="150"/>
    </row>
    <row r="68" spans="1:14" s="7" customFormat="1" ht="18" customHeight="1" x14ac:dyDescent="0.2">
      <c r="A68" s="181" t="s">
        <v>46</v>
      </c>
      <c r="B68" s="314" t="s">
        <v>171</v>
      </c>
      <c r="C68" s="315"/>
      <c r="D68" s="316"/>
      <c r="E68" s="182">
        <f>E69+E70+E71</f>
        <v>389293507</v>
      </c>
      <c r="F68" s="182">
        <f t="shared" ref="F68:G68" si="48">F69+F70+F71</f>
        <v>45087945</v>
      </c>
      <c r="G68" s="182">
        <f t="shared" si="48"/>
        <v>434381452</v>
      </c>
      <c r="H68" s="183" t="s">
        <v>46</v>
      </c>
      <c r="I68" s="314" t="s">
        <v>172</v>
      </c>
      <c r="J68" s="315"/>
      <c r="K68" s="316"/>
      <c r="L68" s="182">
        <f>L69+L70+L71</f>
        <v>389293507</v>
      </c>
      <c r="M68" s="182">
        <f t="shared" ref="M68:N68" si="49">M69+M70+M71</f>
        <v>45087945</v>
      </c>
      <c r="N68" s="184">
        <f t="shared" si="49"/>
        <v>434381452</v>
      </c>
    </row>
    <row r="69" spans="1:14" s="7" customFormat="1" ht="18" customHeight="1" x14ac:dyDescent="0.2">
      <c r="A69" s="185"/>
      <c r="B69" s="302" t="s">
        <v>71</v>
      </c>
      <c r="C69" s="186" t="s">
        <v>1</v>
      </c>
      <c r="D69" s="187" t="s">
        <v>10</v>
      </c>
      <c r="E69" s="188">
        <f>E61+E66+E67</f>
        <v>389293507</v>
      </c>
      <c r="F69" s="188">
        <f t="shared" ref="F69:G69" si="50">F61+F66+F67</f>
        <v>45087945</v>
      </c>
      <c r="G69" s="188">
        <f t="shared" si="50"/>
        <v>434381452</v>
      </c>
      <c r="H69" s="189"/>
      <c r="I69" s="302" t="s">
        <v>70</v>
      </c>
      <c r="J69" s="186" t="s">
        <v>1</v>
      </c>
      <c r="K69" s="187" t="s">
        <v>10</v>
      </c>
      <c r="L69" s="188">
        <f>L61+L66+L67</f>
        <v>389293507</v>
      </c>
      <c r="M69" s="188">
        <f t="shared" ref="M69:N69" si="51">M61+M66+M67</f>
        <v>45087945</v>
      </c>
      <c r="N69" s="190">
        <f t="shared" si="51"/>
        <v>434381452</v>
      </c>
    </row>
    <row r="70" spans="1:14" s="7" customFormat="1" ht="18" customHeight="1" x14ac:dyDescent="0.2">
      <c r="A70" s="185"/>
      <c r="B70" s="303"/>
      <c r="C70" s="186" t="s">
        <v>2</v>
      </c>
      <c r="D70" s="187" t="s">
        <v>13</v>
      </c>
      <c r="E70" s="188">
        <f>E62</f>
        <v>0</v>
      </c>
      <c r="F70" s="188">
        <f t="shared" ref="F70:G71" si="52">F62</f>
        <v>0</v>
      </c>
      <c r="G70" s="188">
        <f t="shared" si="52"/>
        <v>0</v>
      </c>
      <c r="H70" s="189"/>
      <c r="I70" s="303"/>
      <c r="J70" s="186" t="s">
        <v>2</v>
      </c>
      <c r="K70" s="187" t="s">
        <v>13</v>
      </c>
      <c r="L70" s="188">
        <f t="shared" ref="L70:N71" si="53">L62</f>
        <v>0</v>
      </c>
      <c r="M70" s="188">
        <f t="shared" si="53"/>
        <v>0</v>
      </c>
      <c r="N70" s="190">
        <f t="shared" si="53"/>
        <v>0</v>
      </c>
    </row>
    <row r="71" spans="1:14" s="7" customFormat="1" ht="18" customHeight="1" thickBot="1" x14ac:dyDescent="0.25">
      <c r="A71" s="191"/>
      <c r="B71" s="304"/>
      <c r="C71" s="192" t="s">
        <v>4</v>
      </c>
      <c r="D71" s="193" t="s">
        <v>12</v>
      </c>
      <c r="E71" s="194">
        <f>E63</f>
        <v>0</v>
      </c>
      <c r="F71" s="194">
        <f t="shared" si="52"/>
        <v>0</v>
      </c>
      <c r="G71" s="194">
        <f t="shared" si="52"/>
        <v>0</v>
      </c>
      <c r="H71" s="195"/>
      <c r="I71" s="304"/>
      <c r="J71" s="192" t="s">
        <v>4</v>
      </c>
      <c r="K71" s="193" t="s">
        <v>12</v>
      </c>
      <c r="L71" s="194">
        <f t="shared" si="53"/>
        <v>0</v>
      </c>
      <c r="M71" s="194">
        <f t="shared" si="53"/>
        <v>0</v>
      </c>
      <c r="N71" s="196">
        <f t="shared" si="53"/>
        <v>0</v>
      </c>
    </row>
    <row r="74" spans="1:14" x14ac:dyDescent="0.2">
      <c r="A74" s="305"/>
      <c r="B74" s="305"/>
      <c r="C74" s="305"/>
      <c r="D74" s="305"/>
      <c r="E74" s="305"/>
      <c r="F74" s="20"/>
      <c r="G74" s="20"/>
    </row>
  </sheetData>
  <sheetProtection formatCells="0"/>
  <mergeCells count="78">
    <mergeCell ref="A7:N7"/>
    <mergeCell ref="K1:N1"/>
    <mergeCell ref="K2:N2"/>
    <mergeCell ref="A4:N4"/>
    <mergeCell ref="A5:N5"/>
    <mergeCell ref="A6:N6"/>
    <mergeCell ref="A8:N8"/>
    <mergeCell ref="D9:K9"/>
    <mergeCell ref="A10:E10"/>
    <mergeCell ref="H10:N10"/>
    <mergeCell ref="C11:D11"/>
    <mergeCell ref="J11:K11"/>
    <mergeCell ref="A12:N12"/>
    <mergeCell ref="B13:D13"/>
    <mergeCell ref="I13:K13"/>
    <mergeCell ref="B14:B17"/>
    <mergeCell ref="C14:D14"/>
    <mergeCell ref="I14:I17"/>
    <mergeCell ref="J14:K14"/>
    <mergeCell ref="B18:B21"/>
    <mergeCell ref="C18:D18"/>
    <mergeCell ref="I18:I21"/>
    <mergeCell ref="J18:K18"/>
    <mergeCell ref="B22:B25"/>
    <mergeCell ref="C22:D22"/>
    <mergeCell ref="I22:I25"/>
    <mergeCell ref="J22:K22"/>
    <mergeCell ref="A40:D40"/>
    <mergeCell ref="H40:K40"/>
    <mergeCell ref="B26:B29"/>
    <mergeCell ref="C26:D26"/>
    <mergeCell ref="I26:I29"/>
    <mergeCell ref="J26:K26"/>
    <mergeCell ref="A30:G35"/>
    <mergeCell ref="I30:I35"/>
    <mergeCell ref="J30:K30"/>
    <mergeCell ref="B36:D36"/>
    <mergeCell ref="I36:K36"/>
    <mergeCell ref="B37:B39"/>
    <mergeCell ref="H37:H39"/>
    <mergeCell ref="I37:I39"/>
    <mergeCell ref="A41:N41"/>
    <mergeCell ref="B42:D42"/>
    <mergeCell ref="I42:K42"/>
    <mergeCell ref="B43:B46"/>
    <mergeCell ref="C43:D43"/>
    <mergeCell ref="I43:I46"/>
    <mergeCell ref="J43:K43"/>
    <mergeCell ref="B47:B50"/>
    <mergeCell ref="C47:D47"/>
    <mergeCell ref="I47:I50"/>
    <mergeCell ref="J47:K47"/>
    <mergeCell ref="B51:B54"/>
    <mergeCell ref="C51:D51"/>
    <mergeCell ref="I51:I54"/>
    <mergeCell ref="J51:K51"/>
    <mergeCell ref="A64:D64"/>
    <mergeCell ref="H64:K64"/>
    <mergeCell ref="B55:D55"/>
    <mergeCell ref="I55:K55"/>
    <mergeCell ref="B56:B58"/>
    <mergeCell ref="I56:I58"/>
    <mergeCell ref="A59:D59"/>
    <mergeCell ref="H59:K59"/>
    <mergeCell ref="B60:D60"/>
    <mergeCell ref="I60:K60"/>
    <mergeCell ref="B61:B63"/>
    <mergeCell ref="H61:H63"/>
    <mergeCell ref="I61:I63"/>
    <mergeCell ref="B69:B71"/>
    <mergeCell ref="I69:I71"/>
    <mergeCell ref="A74:E74"/>
    <mergeCell ref="B65:D65"/>
    <mergeCell ref="I65:K65"/>
    <mergeCell ref="B66:B67"/>
    <mergeCell ref="I66:I67"/>
    <mergeCell ref="B68:D68"/>
    <mergeCell ref="I68:K68"/>
  </mergeCells>
  <printOptions horizontalCentered="1"/>
  <pageMargins left="0.19685039370078741" right="0.19685039370078741" top="3.937007874015748E-2" bottom="0" header="0.43307086614173229" footer="0.51181102362204722"/>
  <pageSetup paperSize="9" scale="64" orientation="landscape" r:id="rId1"/>
  <headerFooter alignWithMargins="0"/>
  <rowBreaks count="1" manualBreakCount="1">
    <brk id="4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E252D-51AA-4D3A-B6E7-31523746038B}">
  <sheetPr>
    <tabColor theme="6" tint="0.59999389629810485"/>
  </sheetPr>
  <dimension ref="A1:O38"/>
  <sheetViews>
    <sheetView topLeftCell="A7" zoomScaleNormal="100" workbookViewId="0">
      <selection activeCell="N22" sqref="N22"/>
    </sheetView>
  </sheetViews>
  <sheetFormatPr defaultRowHeight="15.75" x14ac:dyDescent="0.25"/>
  <cols>
    <col min="1" max="1" width="4.5703125" style="4" customWidth="1"/>
    <col min="2" max="2" width="31.7109375" style="4" customWidth="1"/>
    <col min="3" max="3" width="29.140625" style="4" customWidth="1"/>
    <col min="4" max="4" width="8" style="4" customWidth="1"/>
    <col min="5" max="5" width="12.7109375" style="4" customWidth="1"/>
    <col min="6" max="6" width="12.140625" style="4" customWidth="1"/>
    <col min="7" max="7" width="12.7109375" style="4" customWidth="1"/>
    <col min="8" max="8" width="14.7109375" style="4" customWidth="1"/>
    <col min="9" max="9" width="14.28515625" style="4" customWidth="1"/>
    <col min="10" max="10" width="12.7109375" style="4" customWidth="1"/>
    <col min="11" max="11" width="14.7109375" style="4" customWidth="1"/>
    <col min="12" max="12" width="11.28515625" style="4" customWidth="1"/>
    <col min="13" max="16384" width="9.140625" style="4"/>
  </cols>
  <sheetData>
    <row r="1" spans="1:13" x14ac:dyDescent="0.25">
      <c r="F1" s="391" t="s">
        <v>238</v>
      </c>
      <c r="G1" s="391"/>
      <c r="H1" s="391"/>
      <c r="I1" s="391"/>
      <c r="J1" s="391"/>
      <c r="K1" s="391"/>
      <c r="L1" s="391"/>
      <c r="M1" s="61"/>
    </row>
    <row r="2" spans="1:13" x14ac:dyDescent="0.25">
      <c r="A2" s="101"/>
      <c r="B2" s="101"/>
      <c r="C2" s="101"/>
      <c r="D2" s="101"/>
      <c r="E2" s="98"/>
      <c r="F2" s="391" t="s">
        <v>239</v>
      </c>
      <c r="G2" s="391"/>
      <c r="H2" s="391"/>
      <c r="I2" s="391"/>
      <c r="J2" s="391"/>
      <c r="K2" s="391"/>
      <c r="L2" s="391"/>
    </row>
    <row r="3" spans="1:13" x14ac:dyDescent="0.25">
      <c r="A3" s="101"/>
      <c r="B3" s="101"/>
      <c r="C3" s="101"/>
      <c r="D3" s="101"/>
      <c r="E3" s="98"/>
      <c r="F3" s="20"/>
      <c r="G3" s="20"/>
      <c r="H3" s="20"/>
      <c r="I3" s="20"/>
      <c r="J3" s="20"/>
      <c r="K3" s="20"/>
      <c r="L3" s="20"/>
    </row>
    <row r="4" spans="1:13" x14ac:dyDescent="0.25">
      <c r="A4" s="382" t="s">
        <v>220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</row>
    <row r="5" spans="1:13" x14ac:dyDescent="0.25">
      <c r="A5" s="400" t="s">
        <v>143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</row>
    <row r="6" spans="1:13" s="3" customFormat="1" x14ac:dyDescent="0.25">
      <c r="A6" s="382" t="s">
        <v>221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27"/>
    </row>
    <row r="7" spans="1:13" s="3" customFormat="1" x14ac:dyDescent="0.25">
      <c r="A7" s="382" t="s">
        <v>222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27"/>
    </row>
    <row r="8" spans="1:13" ht="16.5" thickBot="1" x14ac:dyDescent="0.3">
      <c r="A8" s="51"/>
      <c r="B8" s="51"/>
      <c r="C8" s="51"/>
      <c r="D8" s="51"/>
      <c r="F8" s="3"/>
      <c r="G8" s="3"/>
      <c r="H8" s="3"/>
      <c r="I8" s="3"/>
      <c r="J8" s="52"/>
      <c r="K8" s="401" t="s">
        <v>182</v>
      </c>
      <c r="L8" s="401"/>
    </row>
    <row r="9" spans="1:13" x14ac:dyDescent="0.25">
      <c r="A9" s="404" t="s">
        <v>9</v>
      </c>
      <c r="B9" s="407" t="s">
        <v>107</v>
      </c>
      <c r="C9" s="407"/>
      <c r="D9" s="407"/>
      <c r="E9" s="408" t="s">
        <v>108</v>
      </c>
      <c r="F9" s="408"/>
      <c r="G9" s="408"/>
      <c r="H9" s="408"/>
      <c r="I9" s="408" t="s">
        <v>109</v>
      </c>
      <c r="J9" s="408"/>
      <c r="K9" s="408"/>
      <c r="L9" s="397" t="s">
        <v>110</v>
      </c>
    </row>
    <row r="10" spans="1:13" ht="31.5" x14ac:dyDescent="0.25">
      <c r="A10" s="405"/>
      <c r="B10" s="409" t="s">
        <v>111</v>
      </c>
      <c r="C10" s="409" t="s">
        <v>112</v>
      </c>
      <c r="D10" s="411" t="s">
        <v>142</v>
      </c>
      <c r="E10" s="128" t="s">
        <v>113</v>
      </c>
      <c r="F10" s="128" t="s">
        <v>114</v>
      </c>
      <c r="G10" s="127" t="s">
        <v>115</v>
      </c>
      <c r="H10" s="128" t="s">
        <v>116</v>
      </c>
      <c r="I10" s="413" t="s">
        <v>117</v>
      </c>
      <c r="J10" s="413" t="s">
        <v>114</v>
      </c>
      <c r="K10" s="413" t="s">
        <v>116</v>
      </c>
      <c r="L10" s="398"/>
    </row>
    <row r="11" spans="1:13" ht="16.5" thickBot="1" x14ac:dyDescent="0.3">
      <c r="A11" s="406"/>
      <c r="B11" s="410"/>
      <c r="C11" s="410"/>
      <c r="D11" s="412"/>
      <c r="E11" s="414" t="s">
        <v>118</v>
      </c>
      <c r="F11" s="414"/>
      <c r="G11" s="414"/>
      <c r="H11" s="414"/>
      <c r="I11" s="414"/>
      <c r="J11" s="414"/>
      <c r="K11" s="414"/>
      <c r="L11" s="399"/>
    </row>
    <row r="12" spans="1:13" ht="17.100000000000001" customHeight="1" x14ac:dyDescent="0.25">
      <c r="A12" s="422" t="s">
        <v>224</v>
      </c>
      <c r="B12" s="423"/>
      <c r="C12" s="423"/>
      <c r="D12" s="423"/>
      <c r="E12" s="423"/>
      <c r="F12" s="423"/>
      <c r="G12" s="423"/>
      <c r="H12" s="423"/>
      <c r="I12" s="423"/>
      <c r="J12" s="423"/>
      <c r="K12" s="423"/>
      <c r="L12" s="424"/>
    </row>
    <row r="13" spans="1:13" s="212" customFormat="1" ht="17.100000000000001" customHeight="1" x14ac:dyDescent="0.25">
      <c r="A13" s="63" t="s">
        <v>1</v>
      </c>
      <c r="B13" s="56" t="s">
        <v>154</v>
      </c>
      <c r="C13" s="56" t="s">
        <v>155</v>
      </c>
      <c r="D13" s="64">
        <v>0.95</v>
      </c>
      <c r="E13" s="80">
        <f>1794875+5939655</f>
        <v>7734530</v>
      </c>
      <c r="F13" s="80">
        <v>0</v>
      </c>
      <c r="G13" s="80">
        <v>211162</v>
      </c>
      <c r="H13" s="80">
        <f t="shared" ref="H13:H16" si="0">SUM(E13:G13)</f>
        <v>7945692</v>
      </c>
      <c r="I13" s="80">
        <v>2111617</v>
      </c>
      <c r="J13" s="80">
        <v>0</v>
      </c>
      <c r="K13" s="80">
        <f t="shared" ref="K13:K33" si="1">SUM(I13:J13)</f>
        <v>2111617</v>
      </c>
      <c r="L13" s="81">
        <v>105580</v>
      </c>
      <c r="M13" s="211"/>
    </row>
    <row r="14" spans="1:13" s="212" customFormat="1" ht="17.100000000000001" customHeight="1" x14ac:dyDescent="0.25">
      <c r="A14" s="63" t="s">
        <v>2</v>
      </c>
      <c r="B14" s="254" t="s">
        <v>156</v>
      </c>
      <c r="C14" s="254" t="s">
        <v>157</v>
      </c>
      <c r="D14" s="64">
        <v>0.95</v>
      </c>
      <c r="E14" s="80">
        <f>2425093+4650313</f>
        <v>7075406</v>
      </c>
      <c r="F14" s="80">
        <v>0</v>
      </c>
      <c r="G14" s="80">
        <v>285305</v>
      </c>
      <c r="H14" s="80">
        <f t="shared" si="0"/>
        <v>7360711</v>
      </c>
      <c r="I14" s="80">
        <v>2853051</v>
      </c>
      <c r="J14" s="80">
        <v>0</v>
      </c>
      <c r="K14" s="80">
        <f t="shared" si="1"/>
        <v>2853051</v>
      </c>
      <c r="L14" s="81">
        <v>142653</v>
      </c>
      <c r="M14" s="211"/>
    </row>
    <row r="15" spans="1:13" s="213" customFormat="1" ht="17.100000000000001" customHeight="1" x14ac:dyDescent="0.25">
      <c r="A15" s="63" t="s">
        <v>4</v>
      </c>
      <c r="B15" s="56" t="s">
        <v>225</v>
      </c>
      <c r="C15" s="56" t="s">
        <v>226</v>
      </c>
      <c r="D15" s="64">
        <v>0.95</v>
      </c>
      <c r="E15" s="82">
        <v>17544267</v>
      </c>
      <c r="F15" s="80">
        <v>304000</v>
      </c>
      <c r="G15" s="82">
        <v>0</v>
      </c>
      <c r="H15" s="82">
        <f t="shared" si="0"/>
        <v>17848267</v>
      </c>
      <c r="I15" s="82">
        <v>18407649</v>
      </c>
      <c r="J15" s="80">
        <v>380000</v>
      </c>
      <c r="K15" s="82">
        <f t="shared" si="1"/>
        <v>18787649</v>
      </c>
      <c r="L15" s="83">
        <f>K15-H15</f>
        <v>939382</v>
      </c>
    </row>
    <row r="16" spans="1:13" s="212" customFormat="1" ht="17.100000000000001" customHeight="1" x14ac:dyDescent="0.25">
      <c r="A16" s="63" t="s">
        <v>5</v>
      </c>
      <c r="B16" s="56" t="s">
        <v>227</v>
      </c>
      <c r="C16" s="56" t="s">
        <v>228</v>
      </c>
      <c r="D16" s="64">
        <v>0.95</v>
      </c>
      <c r="E16" s="80">
        <v>18076690</v>
      </c>
      <c r="F16" s="80">
        <v>0</v>
      </c>
      <c r="G16" s="80">
        <v>0</v>
      </c>
      <c r="H16" s="80">
        <f t="shared" si="0"/>
        <v>18076690</v>
      </c>
      <c r="I16" s="80">
        <v>19028094</v>
      </c>
      <c r="J16" s="80">
        <v>0</v>
      </c>
      <c r="K16" s="80">
        <f t="shared" si="1"/>
        <v>19028094</v>
      </c>
      <c r="L16" s="81">
        <f t="shared" ref="L16:L21" si="2">K16-H16</f>
        <v>951404</v>
      </c>
    </row>
    <row r="17" spans="1:15" s="212" customFormat="1" ht="17.100000000000001" customHeight="1" x14ac:dyDescent="0.25">
      <c r="A17" s="63" t="s">
        <v>7</v>
      </c>
      <c r="B17" s="56" t="s">
        <v>229</v>
      </c>
      <c r="C17" s="56" t="s">
        <v>230</v>
      </c>
      <c r="D17" s="64">
        <v>0.95</v>
      </c>
      <c r="E17" s="80">
        <v>19186162</v>
      </c>
      <c r="F17" s="80">
        <v>0</v>
      </c>
      <c r="G17" s="80">
        <v>0</v>
      </c>
      <c r="H17" s="80">
        <f t="shared" ref="H17:H33" si="3">SUM(E17:G17)</f>
        <v>19186162</v>
      </c>
      <c r="I17" s="80">
        <v>20195960</v>
      </c>
      <c r="J17" s="80">
        <v>0</v>
      </c>
      <c r="K17" s="80">
        <f t="shared" si="1"/>
        <v>20195960</v>
      </c>
      <c r="L17" s="81">
        <f t="shared" si="2"/>
        <v>1009798</v>
      </c>
    </row>
    <row r="18" spans="1:15" s="212" customFormat="1" ht="17.100000000000001" customHeight="1" x14ac:dyDescent="0.25">
      <c r="A18" s="63" t="s">
        <v>28</v>
      </c>
      <c r="B18" s="56" t="s">
        <v>231</v>
      </c>
      <c r="C18" s="56" t="s">
        <v>232</v>
      </c>
      <c r="D18" s="64">
        <v>0.95</v>
      </c>
      <c r="E18" s="80">
        <v>16224418</v>
      </c>
      <c r="F18" s="80">
        <v>0</v>
      </c>
      <c r="G18" s="80">
        <v>0</v>
      </c>
      <c r="H18" s="80">
        <f t="shared" si="3"/>
        <v>16224418</v>
      </c>
      <c r="I18" s="80">
        <v>17078335</v>
      </c>
      <c r="J18" s="80">
        <v>0</v>
      </c>
      <c r="K18" s="80">
        <f t="shared" si="1"/>
        <v>17078335</v>
      </c>
      <c r="L18" s="81">
        <f t="shared" si="2"/>
        <v>853917</v>
      </c>
    </row>
    <row r="19" spans="1:15" s="212" customFormat="1" ht="17.100000000000001" customHeight="1" x14ac:dyDescent="0.25">
      <c r="A19" s="63" t="s">
        <v>90</v>
      </c>
      <c r="B19" s="67" t="s">
        <v>233</v>
      </c>
      <c r="C19" s="56" t="s">
        <v>234</v>
      </c>
      <c r="D19" s="64">
        <v>0.95</v>
      </c>
      <c r="E19" s="80">
        <v>20715791</v>
      </c>
      <c r="F19" s="80">
        <v>1360000</v>
      </c>
      <c r="G19" s="80">
        <v>0</v>
      </c>
      <c r="H19" s="80">
        <f t="shared" si="3"/>
        <v>22075791</v>
      </c>
      <c r="I19" s="80">
        <v>21537675</v>
      </c>
      <c r="J19" s="80">
        <v>1700000</v>
      </c>
      <c r="K19" s="80">
        <f t="shared" si="1"/>
        <v>23237675</v>
      </c>
      <c r="L19" s="81">
        <f t="shared" si="2"/>
        <v>1161884</v>
      </c>
    </row>
    <row r="20" spans="1:15" s="213" customFormat="1" ht="17.100000000000001" customHeight="1" x14ac:dyDescent="0.25">
      <c r="A20" s="63" t="s">
        <v>180</v>
      </c>
      <c r="B20" s="56" t="s">
        <v>188</v>
      </c>
      <c r="C20" s="56">
        <v>101035163</v>
      </c>
      <c r="D20" s="64">
        <v>0.65</v>
      </c>
      <c r="E20" s="80">
        <v>12600000</v>
      </c>
      <c r="F20" s="80">
        <v>1000000</v>
      </c>
      <c r="G20" s="80">
        <v>0</v>
      </c>
      <c r="H20" s="80">
        <f t="shared" si="3"/>
        <v>13600000</v>
      </c>
      <c r="I20" s="80">
        <v>16928352</v>
      </c>
      <c r="J20" s="80">
        <v>1000000</v>
      </c>
      <c r="K20" s="80">
        <f t="shared" si="1"/>
        <v>17928352</v>
      </c>
      <c r="L20" s="81">
        <f t="shared" si="2"/>
        <v>4328352</v>
      </c>
      <c r="M20" s="255"/>
    </row>
    <row r="21" spans="1:15" s="212" customFormat="1" ht="17.100000000000001" customHeight="1" x14ac:dyDescent="0.25">
      <c r="A21" s="63" t="s">
        <v>181</v>
      </c>
      <c r="B21" s="222" t="s">
        <v>205</v>
      </c>
      <c r="C21" s="222">
        <v>101074095</v>
      </c>
      <c r="D21" s="55">
        <v>0.9</v>
      </c>
      <c r="E21" s="80">
        <v>4682893</v>
      </c>
      <c r="F21" s="80">
        <v>0</v>
      </c>
      <c r="G21" s="80">
        <v>4398182</v>
      </c>
      <c r="H21" s="80">
        <f t="shared" si="3"/>
        <v>9081075</v>
      </c>
      <c r="I21" s="80">
        <v>10090083</v>
      </c>
      <c r="J21" s="80">
        <v>0</v>
      </c>
      <c r="K21" s="80">
        <f t="shared" si="1"/>
        <v>10090083</v>
      </c>
      <c r="L21" s="81">
        <f t="shared" si="2"/>
        <v>1009008</v>
      </c>
    </row>
    <row r="22" spans="1:15" s="212" customFormat="1" ht="17.100000000000001" customHeight="1" x14ac:dyDescent="0.25">
      <c r="A22" s="63" t="s">
        <v>173</v>
      </c>
      <c r="B22" s="67" t="s">
        <v>131</v>
      </c>
      <c r="C22" s="256" t="s">
        <v>140</v>
      </c>
      <c r="D22" s="64">
        <v>1</v>
      </c>
      <c r="E22" s="80">
        <v>0</v>
      </c>
      <c r="F22" s="80">
        <v>0</v>
      </c>
      <c r="G22" s="80">
        <v>0</v>
      </c>
      <c r="H22" s="80">
        <f t="shared" si="3"/>
        <v>0</v>
      </c>
      <c r="I22" s="80">
        <v>0</v>
      </c>
      <c r="J22" s="80">
        <v>0</v>
      </c>
      <c r="K22" s="80">
        <f t="shared" si="1"/>
        <v>0</v>
      </c>
      <c r="L22" s="81">
        <v>0</v>
      </c>
    </row>
    <row r="23" spans="1:15" s="213" customFormat="1" ht="17.100000000000001" customHeight="1" x14ac:dyDescent="0.25">
      <c r="A23" s="63" t="s">
        <v>134</v>
      </c>
      <c r="B23" s="67" t="s">
        <v>139</v>
      </c>
      <c r="C23" s="65" t="s">
        <v>141</v>
      </c>
      <c r="D23" s="64">
        <v>1</v>
      </c>
      <c r="E23" s="80">
        <v>0</v>
      </c>
      <c r="F23" s="80">
        <v>0</v>
      </c>
      <c r="G23" s="80">
        <v>41321847</v>
      </c>
      <c r="H23" s="80">
        <f t="shared" si="3"/>
        <v>41321847</v>
      </c>
      <c r="I23" s="80">
        <f>25326177-2190750</f>
        <v>23135427</v>
      </c>
      <c r="J23" s="80">
        <f>15995670+2190750</f>
        <v>18186420</v>
      </c>
      <c r="K23" s="80">
        <f t="shared" si="1"/>
        <v>41321847</v>
      </c>
      <c r="L23" s="81">
        <v>0</v>
      </c>
    </row>
    <row r="24" spans="1:15" ht="17.100000000000001" customHeight="1" x14ac:dyDescent="0.25">
      <c r="A24" s="63" t="s">
        <v>135</v>
      </c>
      <c r="B24" s="257" t="s">
        <v>150</v>
      </c>
      <c r="C24" s="256" t="s">
        <v>149</v>
      </c>
      <c r="D24" s="55">
        <v>1</v>
      </c>
      <c r="E24" s="80">
        <v>460293191</v>
      </c>
      <c r="F24" s="80">
        <v>0</v>
      </c>
      <c r="G24" s="80">
        <v>160072642</v>
      </c>
      <c r="H24" s="80">
        <f t="shared" si="3"/>
        <v>620365833</v>
      </c>
      <c r="I24" s="80">
        <v>568323749</v>
      </c>
      <c r="J24" s="80">
        <v>52042084</v>
      </c>
      <c r="K24" s="80">
        <f t="shared" si="1"/>
        <v>620365833</v>
      </c>
      <c r="L24" s="81">
        <v>0</v>
      </c>
    </row>
    <row r="25" spans="1:15" ht="17.100000000000001" customHeight="1" x14ac:dyDescent="0.25">
      <c r="A25" s="63" t="s">
        <v>136</v>
      </c>
      <c r="B25" s="257" t="s">
        <v>190</v>
      </c>
      <c r="C25" s="256" t="s">
        <v>189</v>
      </c>
      <c r="D25" s="55">
        <v>1</v>
      </c>
      <c r="E25" s="80">
        <v>36576000</v>
      </c>
      <c r="F25" s="80">
        <v>0</v>
      </c>
      <c r="G25" s="80">
        <v>46831173</v>
      </c>
      <c r="H25" s="80">
        <f t="shared" si="3"/>
        <v>83407173</v>
      </c>
      <c r="I25" s="80">
        <f>20265023-423750</f>
        <v>19841273</v>
      </c>
      <c r="J25" s="80">
        <f>63142150+423750</f>
        <v>63565900</v>
      </c>
      <c r="K25" s="80">
        <f t="shared" si="1"/>
        <v>83407173</v>
      </c>
      <c r="L25" s="81">
        <v>0</v>
      </c>
      <c r="M25" s="10"/>
      <c r="O25" s="10"/>
    </row>
    <row r="26" spans="1:15" ht="17.100000000000001" customHeight="1" x14ac:dyDescent="0.25">
      <c r="A26" s="63" t="s">
        <v>137</v>
      </c>
      <c r="B26" s="251" t="s">
        <v>206</v>
      </c>
      <c r="C26" s="252" t="s">
        <v>207</v>
      </c>
      <c r="D26" s="55">
        <v>1</v>
      </c>
      <c r="E26" s="80">
        <v>0</v>
      </c>
      <c r="F26" s="80">
        <v>0</v>
      </c>
      <c r="G26" s="80">
        <v>132800557</v>
      </c>
      <c r="H26" s="80">
        <f t="shared" si="3"/>
        <v>132800557</v>
      </c>
      <c r="I26" s="80">
        <v>105317335</v>
      </c>
      <c r="J26" s="80">
        <v>27483222</v>
      </c>
      <c r="K26" s="80">
        <f t="shared" si="1"/>
        <v>132800557</v>
      </c>
      <c r="L26" s="81">
        <v>0</v>
      </c>
      <c r="M26" s="10"/>
      <c r="O26" s="10"/>
    </row>
    <row r="27" spans="1:15" ht="17.100000000000001" customHeight="1" x14ac:dyDescent="0.25">
      <c r="A27" s="63" t="s">
        <v>138</v>
      </c>
      <c r="B27" s="253" t="s">
        <v>208</v>
      </c>
      <c r="C27" s="66" t="s">
        <v>209</v>
      </c>
      <c r="D27" s="55">
        <v>1</v>
      </c>
      <c r="E27" s="80">
        <v>0</v>
      </c>
      <c r="F27" s="80">
        <v>0</v>
      </c>
      <c r="G27" s="80">
        <v>74996893</v>
      </c>
      <c r="H27" s="80">
        <f t="shared" si="3"/>
        <v>74996893</v>
      </c>
      <c r="I27" s="80">
        <v>48766293</v>
      </c>
      <c r="J27" s="80">
        <v>26230600</v>
      </c>
      <c r="K27" s="80">
        <f t="shared" si="1"/>
        <v>74996893</v>
      </c>
      <c r="L27" s="81">
        <v>0</v>
      </c>
    </row>
    <row r="28" spans="1:15" ht="17.100000000000001" customHeight="1" x14ac:dyDescent="0.25">
      <c r="A28" s="63" t="s">
        <v>146</v>
      </c>
      <c r="B28" s="67" t="s">
        <v>165</v>
      </c>
      <c r="C28" s="65" t="s">
        <v>164</v>
      </c>
      <c r="D28" s="64">
        <v>1</v>
      </c>
      <c r="E28" s="80">
        <v>0</v>
      </c>
      <c r="F28" s="80">
        <v>0</v>
      </c>
      <c r="G28" s="80">
        <v>216635</v>
      </c>
      <c r="H28" s="80">
        <f t="shared" si="3"/>
        <v>216635</v>
      </c>
      <c r="I28" s="80">
        <v>216635</v>
      </c>
      <c r="J28" s="80">
        <v>0</v>
      </c>
      <c r="K28" s="80">
        <f t="shared" si="1"/>
        <v>216635</v>
      </c>
      <c r="L28" s="81">
        <v>0</v>
      </c>
      <c r="M28" s="10"/>
    </row>
    <row r="29" spans="1:15" ht="17.100000000000001" customHeight="1" x14ac:dyDescent="0.25">
      <c r="A29" s="63" t="s">
        <v>147</v>
      </c>
      <c r="B29" s="67" t="s">
        <v>166</v>
      </c>
      <c r="C29" s="65" t="s">
        <v>167</v>
      </c>
      <c r="D29" s="64">
        <v>1</v>
      </c>
      <c r="E29" s="80">
        <v>0</v>
      </c>
      <c r="F29" s="80">
        <v>0</v>
      </c>
      <c r="G29" s="80">
        <v>246112</v>
      </c>
      <c r="H29" s="80">
        <f t="shared" si="3"/>
        <v>246112</v>
      </c>
      <c r="I29" s="80">
        <v>246112</v>
      </c>
      <c r="J29" s="80">
        <v>0</v>
      </c>
      <c r="K29" s="80">
        <f t="shared" si="1"/>
        <v>246112</v>
      </c>
      <c r="L29" s="81">
        <v>0</v>
      </c>
      <c r="M29" s="10"/>
    </row>
    <row r="30" spans="1:15" ht="17.100000000000001" customHeight="1" x14ac:dyDescent="0.25">
      <c r="A30" s="63" t="s">
        <v>148</v>
      </c>
      <c r="B30" s="67" t="s">
        <v>162</v>
      </c>
      <c r="C30" s="65" t="s">
        <v>163</v>
      </c>
      <c r="D30" s="64">
        <v>1</v>
      </c>
      <c r="E30" s="80">
        <v>0</v>
      </c>
      <c r="F30" s="80">
        <v>0</v>
      </c>
      <c r="G30" s="84">
        <v>101369</v>
      </c>
      <c r="H30" s="54">
        <f t="shared" si="3"/>
        <v>101369</v>
      </c>
      <c r="I30" s="82">
        <v>101369</v>
      </c>
      <c r="J30" s="53">
        <v>0</v>
      </c>
      <c r="K30" s="54">
        <f t="shared" si="1"/>
        <v>101369</v>
      </c>
      <c r="L30" s="81">
        <v>0</v>
      </c>
      <c r="M30" s="10"/>
    </row>
    <row r="31" spans="1:15" ht="17.100000000000001" customHeight="1" x14ac:dyDescent="0.25">
      <c r="A31" s="63" t="s">
        <v>168</v>
      </c>
      <c r="B31" s="67" t="s">
        <v>158</v>
      </c>
      <c r="C31" s="65" t="s">
        <v>159</v>
      </c>
      <c r="D31" s="64">
        <v>1</v>
      </c>
      <c r="E31" s="82">
        <v>0</v>
      </c>
      <c r="F31" s="80">
        <v>0</v>
      </c>
      <c r="G31" s="84">
        <v>1065981</v>
      </c>
      <c r="H31" s="54">
        <f t="shared" si="3"/>
        <v>1065981</v>
      </c>
      <c r="I31" s="80">
        <v>1065981</v>
      </c>
      <c r="J31" s="54">
        <v>0</v>
      </c>
      <c r="K31" s="54">
        <f t="shared" si="1"/>
        <v>1065981</v>
      </c>
      <c r="L31" s="81">
        <v>0</v>
      </c>
      <c r="M31" s="10"/>
    </row>
    <row r="32" spans="1:15" ht="17.100000000000001" customHeight="1" x14ac:dyDescent="0.25">
      <c r="A32" s="63" t="s">
        <v>169</v>
      </c>
      <c r="B32" s="67" t="s">
        <v>160</v>
      </c>
      <c r="C32" s="65" t="s">
        <v>161</v>
      </c>
      <c r="D32" s="64">
        <v>1</v>
      </c>
      <c r="E32" s="82">
        <v>0</v>
      </c>
      <c r="F32" s="80">
        <v>0</v>
      </c>
      <c r="G32" s="84">
        <f>506676+175200</f>
        <v>681876</v>
      </c>
      <c r="H32" s="54">
        <f t="shared" si="3"/>
        <v>681876</v>
      </c>
      <c r="I32" s="82">
        <f>506676+175200</f>
        <v>681876</v>
      </c>
      <c r="J32" s="53">
        <v>0</v>
      </c>
      <c r="K32" s="54">
        <f t="shared" si="1"/>
        <v>681876</v>
      </c>
      <c r="L32" s="81">
        <v>0</v>
      </c>
      <c r="M32" s="10"/>
    </row>
    <row r="33" spans="1:13" ht="17.100000000000001" customHeight="1" x14ac:dyDescent="0.25">
      <c r="A33" s="63" t="s">
        <v>170</v>
      </c>
      <c r="B33" s="67" t="s">
        <v>174</v>
      </c>
      <c r="C33" s="68" t="s">
        <v>175</v>
      </c>
      <c r="D33" s="64">
        <v>1</v>
      </c>
      <c r="E33" s="80">
        <v>0</v>
      </c>
      <c r="F33" s="53">
        <v>0</v>
      </c>
      <c r="G33" s="84">
        <v>242816</v>
      </c>
      <c r="H33" s="54">
        <f t="shared" si="3"/>
        <v>242816</v>
      </c>
      <c r="I33" s="80">
        <v>242816</v>
      </c>
      <c r="J33" s="54">
        <v>0</v>
      </c>
      <c r="K33" s="54">
        <f t="shared" si="1"/>
        <v>242816</v>
      </c>
      <c r="L33" s="81">
        <v>0</v>
      </c>
      <c r="M33" s="10"/>
    </row>
    <row r="34" spans="1:13" ht="17.100000000000001" customHeight="1" thickBot="1" x14ac:dyDescent="0.3">
      <c r="A34" s="415" t="s">
        <v>235</v>
      </c>
      <c r="B34" s="416"/>
      <c r="C34" s="416"/>
      <c r="D34" s="416"/>
      <c r="E34" s="130">
        <f t="shared" ref="E34:L34" si="4">SUM(E13:E33)</f>
        <v>620709348</v>
      </c>
      <c r="F34" s="130">
        <f t="shared" si="4"/>
        <v>2664000</v>
      </c>
      <c r="G34" s="130">
        <f t="shared" si="4"/>
        <v>463472550</v>
      </c>
      <c r="H34" s="130">
        <f t="shared" si="4"/>
        <v>1086845898</v>
      </c>
      <c r="I34" s="130">
        <f t="shared" si="4"/>
        <v>896169682</v>
      </c>
      <c r="J34" s="130">
        <f t="shared" si="4"/>
        <v>190588226</v>
      </c>
      <c r="K34" s="130">
        <f t="shared" si="4"/>
        <v>1086757908</v>
      </c>
      <c r="L34" s="131">
        <f t="shared" si="4"/>
        <v>10501978</v>
      </c>
    </row>
    <row r="35" spans="1:13" ht="17.100000000000001" customHeight="1" x14ac:dyDescent="0.25">
      <c r="A35" s="417" t="s">
        <v>236</v>
      </c>
      <c r="B35" s="418"/>
      <c r="C35" s="418"/>
      <c r="D35" s="418"/>
      <c r="E35" s="418"/>
      <c r="F35" s="418"/>
      <c r="G35" s="418"/>
      <c r="H35" s="418"/>
      <c r="I35" s="418"/>
      <c r="J35" s="418"/>
      <c r="K35" s="418"/>
      <c r="L35" s="419"/>
    </row>
    <row r="36" spans="1:13" ht="17.100000000000001" customHeight="1" x14ac:dyDescent="0.25">
      <c r="A36" s="214" t="s">
        <v>1</v>
      </c>
      <c r="B36" s="66" t="s">
        <v>131</v>
      </c>
      <c r="C36" s="215" t="s">
        <v>140</v>
      </c>
      <c r="D36" s="55">
        <v>1</v>
      </c>
      <c r="E36" s="72">
        <v>33900000</v>
      </c>
      <c r="F36" s="72">
        <v>0</v>
      </c>
      <c r="G36" s="72">
        <v>0</v>
      </c>
      <c r="H36" s="72">
        <f>E36+F36+G36</f>
        <v>33900000</v>
      </c>
      <c r="I36" s="72">
        <v>22503023</v>
      </c>
      <c r="J36" s="72">
        <v>0</v>
      </c>
      <c r="K36" s="72">
        <f>I36+J36</f>
        <v>22503023</v>
      </c>
      <c r="L36" s="73">
        <v>0</v>
      </c>
    </row>
    <row r="37" spans="1:13" ht="17.100000000000001" customHeight="1" thickBot="1" x14ac:dyDescent="0.3">
      <c r="A37" s="420" t="s">
        <v>237</v>
      </c>
      <c r="B37" s="421"/>
      <c r="C37" s="421"/>
      <c r="D37" s="421"/>
      <c r="E37" s="216">
        <f>SUM(E36)</f>
        <v>33900000</v>
      </c>
      <c r="F37" s="216">
        <f t="shared" ref="F37:L37" si="5">SUM(F36)</f>
        <v>0</v>
      </c>
      <c r="G37" s="216">
        <f t="shared" si="5"/>
        <v>0</v>
      </c>
      <c r="H37" s="216">
        <f t="shared" si="5"/>
        <v>33900000</v>
      </c>
      <c r="I37" s="216">
        <f t="shared" si="5"/>
        <v>22503023</v>
      </c>
      <c r="J37" s="216">
        <f t="shared" si="5"/>
        <v>0</v>
      </c>
      <c r="K37" s="216">
        <f t="shared" si="5"/>
        <v>22503023</v>
      </c>
      <c r="L37" s="217">
        <f t="shared" si="5"/>
        <v>0</v>
      </c>
    </row>
    <row r="38" spans="1:13" ht="17.100000000000001" customHeight="1" thickBot="1" x14ac:dyDescent="0.3">
      <c r="A38" s="402" t="s">
        <v>125</v>
      </c>
      <c r="B38" s="403"/>
      <c r="C38" s="403"/>
      <c r="D38" s="403"/>
      <c r="E38" s="218">
        <f>E34+E37</f>
        <v>654609348</v>
      </c>
      <c r="F38" s="218">
        <f t="shared" ref="F38" si="6">F34+F37</f>
        <v>2664000</v>
      </c>
      <c r="G38" s="218">
        <f>G34+G37</f>
        <v>463472550</v>
      </c>
      <c r="H38" s="218">
        <f t="shared" ref="H38" si="7">H34+H37</f>
        <v>1120745898</v>
      </c>
      <c r="I38" s="218">
        <f>I34+I37</f>
        <v>918672705</v>
      </c>
      <c r="J38" s="218">
        <f t="shared" ref="J38:L38" si="8">J34+J37</f>
        <v>190588226</v>
      </c>
      <c r="K38" s="218">
        <f>K34+K37</f>
        <v>1109260931</v>
      </c>
      <c r="L38" s="219">
        <f t="shared" si="8"/>
        <v>10501978</v>
      </c>
    </row>
  </sheetData>
  <mergeCells count="24">
    <mergeCell ref="A38:D38"/>
    <mergeCell ref="A9:A11"/>
    <mergeCell ref="B9:D9"/>
    <mergeCell ref="E9:H9"/>
    <mergeCell ref="I9:K9"/>
    <mergeCell ref="B10:B11"/>
    <mergeCell ref="C10:C11"/>
    <mergeCell ref="D10:D11"/>
    <mergeCell ref="I10:I11"/>
    <mergeCell ref="J10:J11"/>
    <mergeCell ref="A34:D34"/>
    <mergeCell ref="A35:L35"/>
    <mergeCell ref="A37:D37"/>
    <mergeCell ref="K10:K11"/>
    <mergeCell ref="E11:H11"/>
    <mergeCell ref="A12:L12"/>
    <mergeCell ref="L9:L11"/>
    <mergeCell ref="F1:L1"/>
    <mergeCell ref="A4:L4"/>
    <mergeCell ref="A5:L5"/>
    <mergeCell ref="A7:L7"/>
    <mergeCell ref="K8:L8"/>
    <mergeCell ref="F2:L2"/>
    <mergeCell ref="A6:L6"/>
  </mergeCells>
  <phoneticPr fontId="36" type="noConversion"/>
  <pageMargins left="0.11811023622047245" right="0.11811023622047245" top="0.15748031496062992" bottom="0.15748031496062992" header="0.31496062992125984" footer="0.31496062992125984"/>
  <pageSetup paperSize="9" scale="81" orientation="landscape" r:id="rId1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8B09F-85B6-40BB-8475-7648E851D147}">
  <sheetPr>
    <tabColor theme="6" tint="0.59999389629810485"/>
  </sheetPr>
  <dimension ref="A1:N78"/>
  <sheetViews>
    <sheetView topLeftCell="A43" zoomScaleNormal="100" workbookViewId="0">
      <selection activeCell="I71" sqref="I71"/>
    </sheetView>
  </sheetViews>
  <sheetFormatPr defaultRowHeight="15.75" x14ac:dyDescent="0.25"/>
  <cols>
    <col min="1" max="1" width="4.5703125" style="88" customWidth="1"/>
    <col min="2" max="2" width="15.7109375" style="88" customWidth="1"/>
    <col min="3" max="3" width="27.7109375" style="88" customWidth="1"/>
    <col min="4" max="4" width="8.7109375" style="88" customWidth="1"/>
    <col min="5" max="7" width="13.7109375" style="88" customWidth="1"/>
    <col min="8" max="9" width="12.7109375" style="88" customWidth="1"/>
    <col min="10" max="10" width="14.7109375" style="88" customWidth="1"/>
    <col min="11" max="11" width="11.140625" style="88" customWidth="1"/>
    <col min="12" max="12" width="14.7109375" style="88" customWidth="1"/>
    <col min="13" max="16384" width="9.140625" style="88"/>
  </cols>
  <sheetData>
    <row r="1" spans="1:14" ht="18" customHeight="1" x14ac:dyDescent="0.25">
      <c r="E1" s="391" t="s">
        <v>240</v>
      </c>
      <c r="F1" s="391"/>
      <c r="G1" s="391"/>
      <c r="H1" s="391"/>
      <c r="I1" s="391"/>
      <c r="J1" s="391"/>
      <c r="K1" s="391"/>
      <c r="L1" s="391"/>
    </row>
    <row r="2" spans="1:14" ht="18" customHeight="1" x14ac:dyDescent="0.25">
      <c r="E2" s="391" t="s">
        <v>241</v>
      </c>
      <c r="F2" s="391"/>
      <c r="G2" s="391"/>
      <c r="H2" s="391"/>
      <c r="I2" s="391"/>
      <c r="J2" s="391"/>
      <c r="K2" s="391"/>
      <c r="L2" s="391"/>
    </row>
    <row r="3" spans="1:14" ht="12" customHeight="1" x14ac:dyDescent="0.25">
      <c r="A3" s="85"/>
      <c r="B3" s="85"/>
      <c r="C3" s="85"/>
      <c r="D3" s="85"/>
      <c r="E3" s="85"/>
      <c r="F3" s="61"/>
      <c r="G3" s="61"/>
      <c r="H3" s="61"/>
      <c r="I3" s="61"/>
      <c r="J3" s="61"/>
      <c r="K3" s="61"/>
      <c r="L3" s="61"/>
      <c r="M3" s="58"/>
    </row>
    <row r="4" spans="1:14" ht="15.95" customHeight="1" x14ac:dyDescent="0.25">
      <c r="A4" s="425" t="s">
        <v>220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</row>
    <row r="5" spans="1:14" s="86" customFormat="1" ht="15.95" customHeight="1" x14ac:dyDescent="0.25">
      <c r="A5" s="453" t="s">
        <v>144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</row>
    <row r="6" spans="1:14" s="99" customFormat="1" ht="15.95" customHeight="1" x14ac:dyDescent="0.25">
      <c r="A6" s="425" t="s">
        <v>221</v>
      </c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87"/>
      <c r="N6" s="87"/>
    </row>
    <row r="7" spans="1:14" s="99" customFormat="1" ht="15.95" customHeight="1" x14ac:dyDescent="0.25">
      <c r="A7" s="425" t="s">
        <v>222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87"/>
      <c r="N7" s="87"/>
    </row>
    <row r="8" spans="1:14" ht="18" customHeight="1" thickBot="1" x14ac:dyDescent="0.3">
      <c r="A8" s="69"/>
      <c r="B8" s="69"/>
      <c r="C8" s="69"/>
      <c r="D8" s="69"/>
      <c r="E8" s="69"/>
      <c r="H8" s="99"/>
      <c r="I8" s="99"/>
      <c r="J8" s="99"/>
      <c r="K8" s="426" t="s">
        <v>182</v>
      </c>
      <c r="L8" s="426"/>
    </row>
    <row r="9" spans="1:14" ht="15" customHeight="1" x14ac:dyDescent="0.25">
      <c r="A9" s="427" t="s">
        <v>9</v>
      </c>
      <c r="B9" s="430" t="s">
        <v>107</v>
      </c>
      <c r="C9" s="431"/>
      <c r="D9" s="432"/>
      <c r="E9" s="433" t="s">
        <v>119</v>
      </c>
      <c r="F9" s="434"/>
      <c r="G9" s="434"/>
      <c r="H9" s="434"/>
      <c r="I9" s="434"/>
      <c r="J9" s="435"/>
      <c r="K9" s="436" t="s">
        <v>110</v>
      </c>
      <c r="L9" s="439" t="s">
        <v>116</v>
      </c>
    </row>
    <row r="10" spans="1:14" ht="15" customHeight="1" x14ac:dyDescent="0.25">
      <c r="A10" s="428"/>
      <c r="B10" s="442" t="s">
        <v>111</v>
      </c>
      <c r="C10" s="442" t="s">
        <v>112</v>
      </c>
      <c r="D10" s="443" t="s">
        <v>142</v>
      </c>
      <c r="E10" s="442" t="s">
        <v>120</v>
      </c>
      <c r="F10" s="446" t="s">
        <v>121</v>
      </c>
      <c r="G10" s="447"/>
      <c r="H10" s="447"/>
      <c r="I10" s="447"/>
      <c r="J10" s="448"/>
      <c r="K10" s="437"/>
      <c r="L10" s="440"/>
    </row>
    <row r="11" spans="1:14" ht="15" customHeight="1" x14ac:dyDescent="0.25">
      <c r="A11" s="428"/>
      <c r="B11" s="437"/>
      <c r="C11" s="437"/>
      <c r="D11" s="444"/>
      <c r="E11" s="437"/>
      <c r="F11" s="446" t="s">
        <v>176</v>
      </c>
      <c r="G11" s="448"/>
      <c r="H11" s="449" t="s">
        <v>177</v>
      </c>
      <c r="I11" s="451" t="s">
        <v>122</v>
      </c>
      <c r="J11" s="449" t="s">
        <v>116</v>
      </c>
      <c r="K11" s="437"/>
      <c r="L11" s="440"/>
    </row>
    <row r="12" spans="1:14" ht="15" customHeight="1" thickBot="1" x14ac:dyDescent="0.3">
      <c r="A12" s="429"/>
      <c r="B12" s="438"/>
      <c r="C12" s="438"/>
      <c r="D12" s="445"/>
      <c r="E12" s="438"/>
      <c r="F12" s="220" t="s">
        <v>178</v>
      </c>
      <c r="G12" s="220" t="s">
        <v>179</v>
      </c>
      <c r="H12" s="450"/>
      <c r="I12" s="452"/>
      <c r="J12" s="450"/>
      <c r="K12" s="438"/>
      <c r="L12" s="441"/>
    </row>
    <row r="13" spans="1:14" ht="15" customHeight="1" x14ac:dyDescent="0.25">
      <c r="A13" s="454" t="s">
        <v>1</v>
      </c>
      <c r="B13" s="457" t="s">
        <v>154</v>
      </c>
      <c r="C13" s="457" t="s">
        <v>155</v>
      </c>
      <c r="D13" s="460">
        <v>0.95</v>
      </c>
      <c r="E13" s="258" t="s">
        <v>123</v>
      </c>
      <c r="F13" s="70">
        <v>0</v>
      </c>
      <c r="G13" s="70">
        <f>1794875+5939655</f>
        <v>7734530</v>
      </c>
      <c r="H13" s="70">
        <v>0</v>
      </c>
      <c r="I13" s="70">
        <v>211162</v>
      </c>
      <c r="J13" s="70">
        <f>SUM(F13:I13)</f>
        <v>7945692</v>
      </c>
      <c r="K13" s="70">
        <v>105580</v>
      </c>
      <c r="L13" s="71">
        <f t="shared" ref="L13:L75" si="0">J13+K13</f>
        <v>8051272</v>
      </c>
    </row>
    <row r="14" spans="1:14" ht="15" customHeight="1" x14ac:dyDescent="0.25">
      <c r="A14" s="455"/>
      <c r="B14" s="458"/>
      <c r="C14" s="458"/>
      <c r="D14" s="461"/>
      <c r="E14" s="259" t="s">
        <v>124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/>
      <c r="L14" s="73">
        <f t="shared" si="0"/>
        <v>0</v>
      </c>
    </row>
    <row r="15" spans="1:14" ht="15" customHeight="1" thickBot="1" x14ac:dyDescent="0.3">
      <c r="A15" s="456"/>
      <c r="B15" s="459"/>
      <c r="C15" s="459"/>
      <c r="D15" s="462"/>
      <c r="E15" s="260" t="s">
        <v>116</v>
      </c>
      <c r="F15" s="224">
        <f t="shared" ref="F15:K15" si="1">SUM(F13:F14)</f>
        <v>0</v>
      </c>
      <c r="G15" s="224">
        <f t="shared" si="1"/>
        <v>7734530</v>
      </c>
      <c r="H15" s="224">
        <f t="shared" si="1"/>
        <v>0</v>
      </c>
      <c r="I15" s="224">
        <f t="shared" si="1"/>
        <v>211162</v>
      </c>
      <c r="J15" s="224">
        <f t="shared" si="1"/>
        <v>7945692</v>
      </c>
      <c r="K15" s="224">
        <f t="shared" si="1"/>
        <v>105580</v>
      </c>
      <c r="L15" s="225">
        <f t="shared" si="0"/>
        <v>8051272</v>
      </c>
    </row>
    <row r="16" spans="1:14" ht="15" customHeight="1" x14ac:dyDescent="0.25">
      <c r="A16" s="454" t="s">
        <v>2</v>
      </c>
      <c r="B16" s="457" t="s">
        <v>156</v>
      </c>
      <c r="C16" s="457" t="s">
        <v>157</v>
      </c>
      <c r="D16" s="460">
        <v>0.95</v>
      </c>
      <c r="E16" s="258" t="s">
        <v>123</v>
      </c>
      <c r="F16" s="70">
        <v>0</v>
      </c>
      <c r="G16" s="70">
        <f>2425093+4650313</f>
        <v>7075406</v>
      </c>
      <c r="H16" s="70">
        <v>0</v>
      </c>
      <c r="I16" s="70">
        <v>285305</v>
      </c>
      <c r="J16" s="70">
        <f>SUM(F16:I16)</f>
        <v>7360711</v>
      </c>
      <c r="K16" s="70">
        <v>142653</v>
      </c>
      <c r="L16" s="71">
        <f>J16+K16</f>
        <v>7503364</v>
      </c>
    </row>
    <row r="17" spans="1:12" ht="15" customHeight="1" x14ac:dyDescent="0.25">
      <c r="A17" s="455"/>
      <c r="B17" s="458"/>
      <c r="C17" s="458"/>
      <c r="D17" s="461"/>
      <c r="E17" s="259" t="s">
        <v>124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3">
        <f t="shared" si="0"/>
        <v>0</v>
      </c>
    </row>
    <row r="18" spans="1:12" ht="15" customHeight="1" thickBot="1" x14ac:dyDescent="0.3">
      <c r="A18" s="456"/>
      <c r="B18" s="459"/>
      <c r="C18" s="459"/>
      <c r="D18" s="462"/>
      <c r="E18" s="260" t="s">
        <v>116</v>
      </c>
      <c r="F18" s="224">
        <f t="shared" ref="F18:K18" si="2">SUM(F16:F17)</f>
        <v>0</v>
      </c>
      <c r="G18" s="224">
        <f t="shared" si="2"/>
        <v>7075406</v>
      </c>
      <c r="H18" s="224">
        <f t="shared" si="2"/>
        <v>0</v>
      </c>
      <c r="I18" s="224">
        <f t="shared" si="2"/>
        <v>285305</v>
      </c>
      <c r="J18" s="224">
        <f t="shared" si="2"/>
        <v>7360711</v>
      </c>
      <c r="K18" s="224">
        <f t="shared" si="2"/>
        <v>142653</v>
      </c>
      <c r="L18" s="225">
        <f t="shared" si="0"/>
        <v>7503364</v>
      </c>
    </row>
    <row r="19" spans="1:12" ht="15" customHeight="1" x14ac:dyDescent="0.25">
      <c r="A19" s="454" t="s">
        <v>4</v>
      </c>
      <c r="B19" s="457" t="s">
        <v>225</v>
      </c>
      <c r="C19" s="457" t="s">
        <v>226</v>
      </c>
      <c r="D19" s="460">
        <v>0.95</v>
      </c>
      <c r="E19" s="258" t="s">
        <v>123</v>
      </c>
      <c r="F19" s="70">
        <v>2818147</v>
      </c>
      <c r="G19" s="70">
        <v>14726120</v>
      </c>
      <c r="H19" s="70">
        <v>304000</v>
      </c>
      <c r="I19" s="70">
        <v>0</v>
      </c>
      <c r="J19" s="70">
        <f>SUM(F19:I19)</f>
        <v>17848267</v>
      </c>
      <c r="K19" s="70">
        <v>939382</v>
      </c>
      <c r="L19" s="71">
        <f t="shared" si="0"/>
        <v>18787649</v>
      </c>
    </row>
    <row r="20" spans="1:12" ht="15" customHeight="1" x14ac:dyDescent="0.25">
      <c r="A20" s="455"/>
      <c r="B20" s="458"/>
      <c r="C20" s="458"/>
      <c r="D20" s="461"/>
      <c r="E20" s="259" t="s">
        <v>124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3">
        <f t="shared" si="0"/>
        <v>0</v>
      </c>
    </row>
    <row r="21" spans="1:12" ht="15" customHeight="1" thickBot="1" x14ac:dyDescent="0.3">
      <c r="A21" s="456"/>
      <c r="B21" s="459"/>
      <c r="C21" s="459"/>
      <c r="D21" s="462"/>
      <c r="E21" s="260" t="s">
        <v>116</v>
      </c>
      <c r="F21" s="224">
        <f t="shared" ref="F21:K21" si="3">SUM(F19:F20)</f>
        <v>2818147</v>
      </c>
      <c r="G21" s="224">
        <f t="shared" si="3"/>
        <v>14726120</v>
      </c>
      <c r="H21" s="224">
        <f t="shared" si="3"/>
        <v>304000</v>
      </c>
      <c r="I21" s="224">
        <f t="shared" si="3"/>
        <v>0</v>
      </c>
      <c r="J21" s="224">
        <f t="shared" si="3"/>
        <v>17848267</v>
      </c>
      <c r="K21" s="224">
        <f t="shared" si="3"/>
        <v>939382</v>
      </c>
      <c r="L21" s="225">
        <f t="shared" si="0"/>
        <v>18787649</v>
      </c>
    </row>
    <row r="22" spans="1:12" s="229" customFormat="1" ht="15" customHeight="1" x14ac:dyDescent="0.25">
      <c r="A22" s="454" t="s">
        <v>5</v>
      </c>
      <c r="B22" s="457" t="s">
        <v>227</v>
      </c>
      <c r="C22" s="457" t="s">
        <v>228</v>
      </c>
      <c r="D22" s="460">
        <v>0.95</v>
      </c>
      <c r="E22" s="261" t="s">
        <v>123</v>
      </c>
      <c r="F22" s="227">
        <v>2854214</v>
      </c>
      <c r="G22" s="227">
        <v>15222476</v>
      </c>
      <c r="H22" s="227">
        <v>0</v>
      </c>
      <c r="I22" s="227">
        <v>0</v>
      </c>
      <c r="J22" s="227">
        <f>SUM(F22:I22)</f>
        <v>18076690</v>
      </c>
      <c r="K22" s="227">
        <v>951404</v>
      </c>
      <c r="L22" s="228">
        <f t="shared" si="0"/>
        <v>19028094</v>
      </c>
    </row>
    <row r="23" spans="1:12" ht="15" customHeight="1" x14ac:dyDescent="0.25">
      <c r="A23" s="455"/>
      <c r="B23" s="458"/>
      <c r="C23" s="458"/>
      <c r="D23" s="461"/>
      <c r="E23" s="259" t="s">
        <v>124</v>
      </c>
      <c r="F23" s="72">
        <v>0</v>
      </c>
      <c r="G23" s="72">
        <v>0</v>
      </c>
      <c r="H23" s="72">
        <v>0</v>
      </c>
      <c r="I23" s="72"/>
      <c r="J23" s="72">
        <v>0</v>
      </c>
      <c r="K23" s="72">
        <v>0</v>
      </c>
      <c r="L23" s="73">
        <f t="shared" si="0"/>
        <v>0</v>
      </c>
    </row>
    <row r="24" spans="1:12" ht="15" customHeight="1" thickBot="1" x14ac:dyDescent="0.3">
      <c r="A24" s="456"/>
      <c r="B24" s="459"/>
      <c r="C24" s="459"/>
      <c r="D24" s="462"/>
      <c r="E24" s="260" t="s">
        <v>116</v>
      </c>
      <c r="F24" s="224">
        <f t="shared" ref="F24:K24" si="4">SUM(F22:F23)</f>
        <v>2854214</v>
      </c>
      <c r="G24" s="224">
        <f t="shared" si="4"/>
        <v>15222476</v>
      </c>
      <c r="H24" s="224">
        <f t="shared" si="4"/>
        <v>0</v>
      </c>
      <c r="I24" s="224">
        <f t="shared" si="4"/>
        <v>0</v>
      </c>
      <c r="J24" s="224">
        <f t="shared" si="4"/>
        <v>18076690</v>
      </c>
      <c r="K24" s="224">
        <f t="shared" si="4"/>
        <v>951404</v>
      </c>
      <c r="L24" s="225">
        <f t="shared" si="0"/>
        <v>19028094</v>
      </c>
    </row>
    <row r="25" spans="1:12" ht="15" customHeight="1" x14ac:dyDescent="0.25">
      <c r="A25" s="454" t="s">
        <v>7</v>
      </c>
      <c r="B25" s="457" t="s">
        <v>229</v>
      </c>
      <c r="C25" s="457" t="s">
        <v>230</v>
      </c>
      <c r="D25" s="460">
        <v>0.95</v>
      </c>
      <c r="E25" s="258" t="s">
        <v>123</v>
      </c>
      <c r="F25" s="70">
        <v>3029394</v>
      </c>
      <c r="G25" s="70">
        <v>16156768</v>
      </c>
      <c r="H25" s="70">
        <v>0</v>
      </c>
      <c r="I25" s="70">
        <v>0</v>
      </c>
      <c r="J25" s="70">
        <f>SUM(F25:I25)</f>
        <v>19186162</v>
      </c>
      <c r="K25" s="70">
        <v>1009798</v>
      </c>
      <c r="L25" s="71">
        <f t="shared" si="0"/>
        <v>20195960</v>
      </c>
    </row>
    <row r="26" spans="1:12" ht="15" customHeight="1" x14ac:dyDescent="0.25">
      <c r="A26" s="455"/>
      <c r="B26" s="458"/>
      <c r="C26" s="458"/>
      <c r="D26" s="461"/>
      <c r="E26" s="259" t="s">
        <v>124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3">
        <f t="shared" si="0"/>
        <v>0</v>
      </c>
    </row>
    <row r="27" spans="1:12" ht="15" customHeight="1" thickBot="1" x14ac:dyDescent="0.3">
      <c r="A27" s="456"/>
      <c r="B27" s="459"/>
      <c r="C27" s="459"/>
      <c r="D27" s="462"/>
      <c r="E27" s="260" t="s">
        <v>116</v>
      </c>
      <c r="F27" s="224">
        <f t="shared" ref="F27:K27" si="5">SUM(F25:F26)</f>
        <v>3029394</v>
      </c>
      <c r="G27" s="224">
        <f t="shared" si="5"/>
        <v>16156768</v>
      </c>
      <c r="H27" s="224">
        <f t="shared" si="5"/>
        <v>0</v>
      </c>
      <c r="I27" s="224">
        <f t="shared" si="5"/>
        <v>0</v>
      </c>
      <c r="J27" s="224">
        <f t="shared" si="5"/>
        <v>19186162</v>
      </c>
      <c r="K27" s="224">
        <f t="shared" si="5"/>
        <v>1009798</v>
      </c>
      <c r="L27" s="225">
        <f t="shared" si="0"/>
        <v>20195960</v>
      </c>
    </row>
    <row r="28" spans="1:12" ht="15" customHeight="1" x14ac:dyDescent="0.25">
      <c r="A28" s="454" t="s">
        <v>28</v>
      </c>
      <c r="B28" s="457" t="s">
        <v>231</v>
      </c>
      <c r="C28" s="457" t="s">
        <v>232</v>
      </c>
      <c r="D28" s="460">
        <v>0.95</v>
      </c>
      <c r="E28" s="258" t="s">
        <v>123</v>
      </c>
      <c r="F28" s="70">
        <v>2561750</v>
      </c>
      <c r="G28" s="70">
        <v>13662668</v>
      </c>
      <c r="H28" s="70">
        <v>0</v>
      </c>
      <c r="I28" s="70">
        <v>0</v>
      </c>
      <c r="J28" s="70">
        <f>SUM(F28:I28)</f>
        <v>16224418</v>
      </c>
      <c r="K28" s="70">
        <v>853917</v>
      </c>
      <c r="L28" s="71">
        <f t="shared" si="0"/>
        <v>17078335</v>
      </c>
    </row>
    <row r="29" spans="1:12" ht="15" customHeight="1" x14ac:dyDescent="0.25">
      <c r="A29" s="455"/>
      <c r="B29" s="458"/>
      <c r="C29" s="458"/>
      <c r="D29" s="461"/>
      <c r="E29" s="259" t="s">
        <v>124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3">
        <f t="shared" si="0"/>
        <v>0</v>
      </c>
    </row>
    <row r="30" spans="1:12" ht="15" customHeight="1" thickBot="1" x14ac:dyDescent="0.3">
      <c r="A30" s="456"/>
      <c r="B30" s="459"/>
      <c r="C30" s="459"/>
      <c r="D30" s="462"/>
      <c r="E30" s="260" t="s">
        <v>116</v>
      </c>
      <c r="F30" s="224">
        <f t="shared" ref="F30:K30" si="6">SUM(F28:F29)</f>
        <v>2561750</v>
      </c>
      <c r="G30" s="224">
        <f t="shared" si="6"/>
        <v>13662668</v>
      </c>
      <c r="H30" s="224">
        <f t="shared" si="6"/>
        <v>0</v>
      </c>
      <c r="I30" s="224">
        <f t="shared" si="6"/>
        <v>0</v>
      </c>
      <c r="J30" s="224">
        <f t="shared" si="6"/>
        <v>16224418</v>
      </c>
      <c r="K30" s="224">
        <f t="shared" si="6"/>
        <v>853917</v>
      </c>
      <c r="L30" s="225">
        <f t="shared" si="0"/>
        <v>17078335</v>
      </c>
    </row>
    <row r="31" spans="1:12" s="229" customFormat="1" ht="15" customHeight="1" x14ac:dyDescent="0.25">
      <c r="A31" s="454" t="s">
        <v>90</v>
      </c>
      <c r="B31" s="463" t="s">
        <v>233</v>
      </c>
      <c r="C31" s="458" t="s">
        <v>234</v>
      </c>
      <c r="D31" s="461">
        <v>0.95</v>
      </c>
      <c r="E31" s="262" t="s">
        <v>123</v>
      </c>
      <c r="F31" s="227">
        <v>3485651</v>
      </c>
      <c r="G31" s="227">
        <v>17230140</v>
      </c>
      <c r="H31" s="227">
        <v>1360000</v>
      </c>
      <c r="I31" s="227">
        <v>0</v>
      </c>
      <c r="J31" s="227">
        <f>SUM(F31:I31)</f>
        <v>22075791</v>
      </c>
      <c r="K31" s="227">
        <v>1161884</v>
      </c>
      <c r="L31" s="231">
        <f t="shared" si="0"/>
        <v>23237675</v>
      </c>
    </row>
    <row r="32" spans="1:12" ht="15" customHeight="1" x14ac:dyDescent="0.25">
      <c r="A32" s="455"/>
      <c r="B32" s="463"/>
      <c r="C32" s="458"/>
      <c r="D32" s="461"/>
      <c r="E32" s="259" t="s">
        <v>124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3">
        <f t="shared" si="0"/>
        <v>0</v>
      </c>
    </row>
    <row r="33" spans="1:12" ht="15" customHeight="1" thickBot="1" x14ac:dyDescent="0.3">
      <c r="A33" s="456"/>
      <c r="B33" s="464"/>
      <c r="C33" s="459"/>
      <c r="D33" s="462"/>
      <c r="E33" s="260" t="s">
        <v>116</v>
      </c>
      <c r="F33" s="224">
        <f t="shared" ref="F33:K33" si="7">SUM(F31:F32)</f>
        <v>3485651</v>
      </c>
      <c r="G33" s="224">
        <f t="shared" si="7"/>
        <v>17230140</v>
      </c>
      <c r="H33" s="224">
        <f t="shared" si="7"/>
        <v>1360000</v>
      </c>
      <c r="I33" s="224">
        <f t="shared" si="7"/>
        <v>0</v>
      </c>
      <c r="J33" s="224">
        <f t="shared" si="7"/>
        <v>22075791</v>
      </c>
      <c r="K33" s="224">
        <f t="shared" si="7"/>
        <v>1161884</v>
      </c>
      <c r="L33" s="225">
        <f t="shared" si="0"/>
        <v>23237675</v>
      </c>
    </row>
    <row r="34" spans="1:12" s="229" customFormat="1" ht="15" customHeight="1" x14ac:dyDescent="0.25">
      <c r="A34" s="454" t="s">
        <v>180</v>
      </c>
      <c r="B34" s="463" t="s">
        <v>188</v>
      </c>
      <c r="C34" s="458">
        <v>101035163</v>
      </c>
      <c r="D34" s="461">
        <v>0.65</v>
      </c>
      <c r="E34" s="262" t="s">
        <v>123</v>
      </c>
      <c r="F34" s="227">
        <v>0</v>
      </c>
      <c r="G34" s="227">
        <v>12600000</v>
      </c>
      <c r="H34" s="227">
        <v>1000000</v>
      </c>
      <c r="I34" s="227">
        <v>0</v>
      </c>
      <c r="J34" s="227">
        <f>SUM(F34:I34)</f>
        <v>13600000</v>
      </c>
      <c r="K34" s="227">
        <v>4328352</v>
      </c>
      <c r="L34" s="231">
        <f t="shared" si="0"/>
        <v>17928352</v>
      </c>
    </row>
    <row r="35" spans="1:12" ht="15" customHeight="1" x14ac:dyDescent="0.25">
      <c r="A35" s="455"/>
      <c r="B35" s="463"/>
      <c r="C35" s="458"/>
      <c r="D35" s="461"/>
      <c r="E35" s="259" t="s">
        <v>124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3">
        <f t="shared" si="0"/>
        <v>0</v>
      </c>
    </row>
    <row r="36" spans="1:12" ht="15" customHeight="1" thickBot="1" x14ac:dyDescent="0.3">
      <c r="A36" s="456"/>
      <c r="B36" s="464"/>
      <c r="C36" s="459"/>
      <c r="D36" s="462"/>
      <c r="E36" s="260" t="s">
        <v>116</v>
      </c>
      <c r="F36" s="224">
        <f t="shared" ref="F36:K36" si="8">SUM(F34:F35)</f>
        <v>0</v>
      </c>
      <c r="G36" s="224">
        <f t="shared" si="8"/>
        <v>12600000</v>
      </c>
      <c r="H36" s="224">
        <f t="shared" si="8"/>
        <v>1000000</v>
      </c>
      <c r="I36" s="224">
        <f t="shared" si="8"/>
        <v>0</v>
      </c>
      <c r="J36" s="224">
        <f t="shared" si="8"/>
        <v>13600000</v>
      </c>
      <c r="K36" s="224">
        <f t="shared" si="8"/>
        <v>4328352</v>
      </c>
      <c r="L36" s="225">
        <f t="shared" si="0"/>
        <v>17928352</v>
      </c>
    </row>
    <row r="37" spans="1:12" s="229" customFormat="1" ht="15" customHeight="1" x14ac:dyDescent="0.25">
      <c r="A37" s="454" t="s">
        <v>181</v>
      </c>
      <c r="B37" s="467" t="s">
        <v>205</v>
      </c>
      <c r="C37" s="457">
        <v>101074095</v>
      </c>
      <c r="D37" s="460">
        <v>0.9</v>
      </c>
      <c r="E37" s="261" t="s">
        <v>123</v>
      </c>
      <c r="F37" s="227">
        <v>0</v>
      </c>
      <c r="G37" s="227">
        <v>4682893</v>
      </c>
      <c r="H37" s="227">
        <v>0</v>
      </c>
      <c r="I37" s="227">
        <v>4398182</v>
      </c>
      <c r="J37" s="227">
        <f>SUM(F37:I37)</f>
        <v>9081075</v>
      </c>
      <c r="K37" s="227">
        <v>1009008</v>
      </c>
      <c r="L37" s="228">
        <f t="shared" si="0"/>
        <v>10090083</v>
      </c>
    </row>
    <row r="38" spans="1:12" ht="15" customHeight="1" x14ac:dyDescent="0.25">
      <c r="A38" s="455"/>
      <c r="B38" s="463"/>
      <c r="C38" s="458"/>
      <c r="D38" s="461"/>
      <c r="E38" s="259" t="s">
        <v>124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3">
        <f t="shared" si="0"/>
        <v>0</v>
      </c>
    </row>
    <row r="39" spans="1:12" ht="15" customHeight="1" thickBot="1" x14ac:dyDescent="0.3">
      <c r="A39" s="456"/>
      <c r="B39" s="464"/>
      <c r="C39" s="459"/>
      <c r="D39" s="462"/>
      <c r="E39" s="260" t="s">
        <v>116</v>
      </c>
      <c r="F39" s="224">
        <f t="shared" ref="F39:K39" si="9">SUM(F37:F38)</f>
        <v>0</v>
      </c>
      <c r="G39" s="224">
        <f t="shared" si="9"/>
        <v>4682893</v>
      </c>
      <c r="H39" s="224">
        <f t="shared" si="9"/>
        <v>0</v>
      </c>
      <c r="I39" s="224">
        <f t="shared" si="9"/>
        <v>4398182</v>
      </c>
      <c r="J39" s="224">
        <f t="shared" si="9"/>
        <v>9081075</v>
      </c>
      <c r="K39" s="224">
        <f t="shared" si="9"/>
        <v>1009008</v>
      </c>
      <c r="L39" s="225">
        <f t="shared" si="0"/>
        <v>10090083</v>
      </c>
    </row>
    <row r="40" spans="1:12" ht="15" customHeight="1" x14ac:dyDescent="0.25">
      <c r="A40" s="455" t="s">
        <v>173</v>
      </c>
      <c r="B40" s="463" t="s">
        <v>131</v>
      </c>
      <c r="C40" s="465" t="s">
        <v>140</v>
      </c>
      <c r="D40" s="461">
        <v>1</v>
      </c>
      <c r="E40" s="263" t="s">
        <v>123</v>
      </c>
      <c r="F40" s="240">
        <f>33900000-33900000</f>
        <v>0</v>
      </c>
      <c r="G40" s="75">
        <v>0</v>
      </c>
      <c r="H40" s="75">
        <v>0</v>
      </c>
      <c r="I40" s="75">
        <v>0</v>
      </c>
      <c r="J40" s="75">
        <f>SUM(F40:I40)</f>
        <v>0</v>
      </c>
      <c r="K40" s="75">
        <v>0</v>
      </c>
      <c r="L40" s="74">
        <f t="shared" si="0"/>
        <v>0</v>
      </c>
    </row>
    <row r="41" spans="1:12" ht="15" customHeight="1" x14ac:dyDescent="0.25">
      <c r="A41" s="455"/>
      <c r="B41" s="463"/>
      <c r="C41" s="465"/>
      <c r="D41" s="461"/>
      <c r="E41" s="259" t="s">
        <v>124</v>
      </c>
      <c r="F41" s="238">
        <v>33900000</v>
      </c>
      <c r="G41" s="72">
        <v>0</v>
      </c>
      <c r="H41" s="72">
        <v>0</v>
      </c>
      <c r="I41" s="72">
        <v>0</v>
      </c>
      <c r="J41" s="75">
        <f>SUM(F41:I41)</f>
        <v>33900000</v>
      </c>
      <c r="K41" s="72">
        <v>0</v>
      </c>
      <c r="L41" s="73">
        <f t="shared" si="0"/>
        <v>33900000</v>
      </c>
    </row>
    <row r="42" spans="1:12" ht="15" customHeight="1" thickBot="1" x14ac:dyDescent="0.3">
      <c r="A42" s="456"/>
      <c r="B42" s="464"/>
      <c r="C42" s="466"/>
      <c r="D42" s="462"/>
      <c r="E42" s="260" t="s">
        <v>116</v>
      </c>
      <c r="F42" s="224">
        <f t="shared" ref="F42:K42" si="10">SUM(F40:F41)</f>
        <v>33900000</v>
      </c>
      <c r="G42" s="224">
        <f t="shared" si="10"/>
        <v>0</v>
      </c>
      <c r="H42" s="224">
        <f t="shared" si="10"/>
        <v>0</v>
      </c>
      <c r="I42" s="224">
        <f t="shared" si="10"/>
        <v>0</v>
      </c>
      <c r="J42" s="224">
        <f t="shared" si="10"/>
        <v>33900000</v>
      </c>
      <c r="K42" s="224">
        <f t="shared" si="10"/>
        <v>0</v>
      </c>
      <c r="L42" s="225">
        <f t="shared" si="0"/>
        <v>33900000</v>
      </c>
    </row>
    <row r="43" spans="1:12" ht="15" customHeight="1" x14ac:dyDescent="0.25">
      <c r="A43" s="454" t="s">
        <v>134</v>
      </c>
      <c r="B43" s="467" t="s">
        <v>139</v>
      </c>
      <c r="C43" s="468" t="s">
        <v>141</v>
      </c>
      <c r="D43" s="460">
        <v>1</v>
      </c>
      <c r="E43" s="263" t="s">
        <v>123</v>
      </c>
      <c r="F43" s="70">
        <v>0</v>
      </c>
      <c r="G43" s="70">
        <v>0</v>
      </c>
      <c r="H43" s="70">
        <v>0</v>
      </c>
      <c r="I43" s="70">
        <v>41321847</v>
      </c>
      <c r="J43" s="70">
        <f>SUM(F43:I43)</f>
        <v>41321847</v>
      </c>
      <c r="K43" s="70">
        <v>0</v>
      </c>
      <c r="L43" s="74">
        <f t="shared" si="0"/>
        <v>41321847</v>
      </c>
    </row>
    <row r="44" spans="1:12" ht="15" customHeight="1" x14ac:dyDescent="0.25">
      <c r="A44" s="455"/>
      <c r="B44" s="463"/>
      <c r="C44" s="469"/>
      <c r="D44" s="461"/>
      <c r="E44" s="259" t="s">
        <v>124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3">
        <f t="shared" si="0"/>
        <v>0</v>
      </c>
    </row>
    <row r="45" spans="1:12" ht="15" customHeight="1" thickBot="1" x14ac:dyDescent="0.3">
      <c r="A45" s="456"/>
      <c r="B45" s="464"/>
      <c r="C45" s="470"/>
      <c r="D45" s="462"/>
      <c r="E45" s="260" t="s">
        <v>116</v>
      </c>
      <c r="F45" s="224">
        <f t="shared" ref="F45:K45" si="11">SUM(F43:F44)</f>
        <v>0</v>
      </c>
      <c r="G45" s="224">
        <f t="shared" si="11"/>
        <v>0</v>
      </c>
      <c r="H45" s="224">
        <f t="shared" si="11"/>
        <v>0</v>
      </c>
      <c r="I45" s="224">
        <f t="shared" si="11"/>
        <v>41321847</v>
      </c>
      <c r="J45" s="224">
        <f t="shared" si="11"/>
        <v>41321847</v>
      </c>
      <c r="K45" s="224">
        <f t="shared" si="11"/>
        <v>0</v>
      </c>
      <c r="L45" s="225">
        <f t="shared" si="0"/>
        <v>41321847</v>
      </c>
    </row>
    <row r="46" spans="1:12" ht="15" customHeight="1" x14ac:dyDescent="0.25">
      <c r="A46" s="454" t="s">
        <v>135</v>
      </c>
      <c r="B46" s="471" t="s">
        <v>150</v>
      </c>
      <c r="C46" s="474" t="s">
        <v>149</v>
      </c>
      <c r="D46" s="460">
        <v>1</v>
      </c>
      <c r="E46" s="258" t="s">
        <v>123</v>
      </c>
      <c r="F46" s="70">
        <v>460293191</v>
      </c>
      <c r="G46" s="70">
        <v>0</v>
      </c>
      <c r="H46" s="70">
        <v>0</v>
      </c>
      <c r="I46" s="70">
        <v>160072642</v>
      </c>
      <c r="J46" s="70">
        <f>SUM(F46:I46)</f>
        <v>620365833</v>
      </c>
      <c r="K46" s="70">
        <v>0</v>
      </c>
      <c r="L46" s="71">
        <f t="shared" si="0"/>
        <v>620365833</v>
      </c>
    </row>
    <row r="47" spans="1:12" ht="15" customHeight="1" x14ac:dyDescent="0.25">
      <c r="A47" s="455"/>
      <c r="B47" s="472"/>
      <c r="C47" s="465"/>
      <c r="D47" s="461"/>
      <c r="E47" s="259" t="s">
        <v>124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3">
        <f t="shared" si="0"/>
        <v>0</v>
      </c>
    </row>
    <row r="48" spans="1:12" ht="15" customHeight="1" thickBot="1" x14ac:dyDescent="0.3">
      <c r="A48" s="456"/>
      <c r="B48" s="473"/>
      <c r="C48" s="466"/>
      <c r="D48" s="462"/>
      <c r="E48" s="260" t="s">
        <v>116</v>
      </c>
      <c r="F48" s="224">
        <f t="shared" ref="F48:K48" si="12">SUM(F46:F47)</f>
        <v>460293191</v>
      </c>
      <c r="G48" s="224">
        <f t="shared" si="12"/>
        <v>0</v>
      </c>
      <c r="H48" s="224">
        <f t="shared" si="12"/>
        <v>0</v>
      </c>
      <c r="I48" s="224">
        <f t="shared" si="12"/>
        <v>160072642</v>
      </c>
      <c r="J48" s="224">
        <f t="shared" si="12"/>
        <v>620365833</v>
      </c>
      <c r="K48" s="224">
        <f t="shared" si="12"/>
        <v>0</v>
      </c>
      <c r="L48" s="225">
        <f t="shared" si="0"/>
        <v>620365833</v>
      </c>
    </row>
    <row r="49" spans="1:12" ht="15" customHeight="1" x14ac:dyDescent="0.25">
      <c r="A49" s="454" t="s">
        <v>136</v>
      </c>
      <c r="B49" s="471" t="s">
        <v>190</v>
      </c>
      <c r="C49" s="474" t="s">
        <v>189</v>
      </c>
      <c r="D49" s="460">
        <v>1</v>
      </c>
      <c r="E49" s="258" t="s">
        <v>123</v>
      </c>
      <c r="F49" s="70">
        <v>36576000</v>
      </c>
      <c r="G49" s="70">
        <v>0</v>
      </c>
      <c r="H49" s="70">
        <v>0</v>
      </c>
      <c r="I49" s="70">
        <v>46831173</v>
      </c>
      <c r="J49" s="70">
        <f>SUM(F49:I49)</f>
        <v>83407173</v>
      </c>
      <c r="K49" s="70">
        <v>0</v>
      </c>
      <c r="L49" s="71">
        <f t="shared" si="0"/>
        <v>83407173</v>
      </c>
    </row>
    <row r="50" spans="1:12" ht="15" customHeight="1" x14ac:dyDescent="0.25">
      <c r="A50" s="455"/>
      <c r="B50" s="472"/>
      <c r="C50" s="465"/>
      <c r="D50" s="461"/>
      <c r="E50" s="259" t="s">
        <v>124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3">
        <f t="shared" si="0"/>
        <v>0</v>
      </c>
    </row>
    <row r="51" spans="1:12" ht="15" customHeight="1" thickBot="1" x14ac:dyDescent="0.3">
      <c r="A51" s="456"/>
      <c r="B51" s="473"/>
      <c r="C51" s="466"/>
      <c r="D51" s="462"/>
      <c r="E51" s="260" t="s">
        <v>116</v>
      </c>
      <c r="F51" s="224">
        <f t="shared" ref="F51:K51" si="13">SUM(F49:F50)</f>
        <v>36576000</v>
      </c>
      <c r="G51" s="224">
        <f t="shared" si="13"/>
        <v>0</v>
      </c>
      <c r="H51" s="224">
        <f t="shared" si="13"/>
        <v>0</v>
      </c>
      <c r="I51" s="224">
        <f t="shared" si="13"/>
        <v>46831173</v>
      </c>
      <c r="J51" s="224">
        <f t="shared" si="13"/>
        <v>83407173</v>
      </c>
      <c r="K51" s="224">
        <f t="shared" si="13"/>
        <v>0</v>
      </c>
      <c r="L51" s="225">
        <f t="shared" si="0"/>
        <v>83407173</v>
      </c>
    </row>
    <row r="52" spans="1:12" ht="15" customHeight="1" x14ac:dyDescent="0.25">
      <c r="A52" s="454" t="s">
        <v>137</v>
      </c>
      <c r="B52" s="467" t="s">
        <v>206</v>
      </c>
      <c r="C52" s="475" t="s">
        <v>207</v>
      </c>
      <c r="D52" s="460">
        <v>1</v>
      </c>
      <c r="E52" s="258" t="s">
        <v>123</v>
      </c>
      <c r="F52" s="70">
        <v>0</v>
      </c>
      <c r="G52" s="70">
        <v>0</v>
      </c>
      <c r="H52" s="70">
        <v>0</v>
      </c>
      <c r="I52" s="70">
        <v>132800557</v>
      </c>
      <c r="J52" s="70">
        <f>SUM(F52:I52)</f>
        <v>132800557</v>
      </c>
      <c r="K52" s="70">
        <v>0</v>
      </c>
      <c r="L52" s="71">
        <f t="shared" si="0"/>
        <v>132800557</v>
      </c>
    </row>
    <row r="53" spans="1:12" ht="15" customHeight="1" x14ac:dyDescent="0.25">
      <c r="A53" s="455"/>
      <c r="B53" s="463"/>
      <c r="C53" s="476"/>
      <c r="D53" s="461"/>
      <c r="E53" s="259" t="s">
        <v>124</v>
      </c>
      <c r="F53" s="72">
        <v>0</v>
      </c>
      <c r="G53" s="72">
        <v>0</v>
      </c>
      <c r="H53" s="72">
        <v>0</v>
      </c>
      <c r="I53" s="72">
        <v>0</v>
      </c>
      <c r="J53" s="75">
        <f>SUM(F53:I53)</f>
        <v>0</v>
      </c>
      <c r="K53" s="72">
        <v>0</v>
      </c>
      <c r="L53" s="73">
        <f t="shared" si="0"/>
        <v>0</v>
      </c>
    </row>
    <row r="54" spans="1:12" ht="15" customHeight="1" thickBot="1" x14ac:dyDescent="0.3">
      <c r="A54" s="456"/>
      <c r="B54" s="464"/>
      <c r="C54" s="477"/>
      <c r="D54" s="462"/>
      <c r="E54" s="260" t="s">
        <v>116</v>
      </c>
      <c r="F54" s="224">
        <f t="shared" ref="F54:K54" si="14">SUM(F52:F53)</f>
        <v>0</v>
      </c>
      <c r="G54" s="224">
        <f t="shared" si="14"/>
        <v>0</v>
      </c>
      <c r="H54" s="224">
        <f t="shared" si="14"/>
        <v>0</v>
      </c>
      <c r="I54" s="224">
        <f t="shared" si="14"/>
        <v>132800557</v>
      </c>
      <c r="J54" s="224">
        <f t="shared" si="14"/>
        <v>132800557</v>
      </c>
      <c r="K54" s="224">
        <f t="shared" si="14"/>
        <v>0</v>
      </c>
      <c r="L54" s="225">
        <f t="shared" si="0"/>
        <v>132800557</v>
      </c>
    </row>
    <row r="55" spans="1:12" ht="15" customHeight="1" x14ac:dyDescent="0.25">
      <c r="A55" s="454" t="s">
        <v>138</v>
      </c>
      <c r="B55" s="467" t="s">
        <v>208</v>
      </c>
      <c r="C55" s="475" t="s">
        <v>209</v>
      </c>
      <c r="D55" s="460">
        <v>1</v>
      </c>
      <c r="E55" s="258" t="s">
        <v>123</v>
      </c>
      <c r="F55" s="70">
        <v>0</v>
      </c>
      <c r="G55" s="70">
        <v>0</v>
      </c>
      <c r="H55" s="70">
        <v>0</v>
      </c>
      <c r="I55" s="70">
        <v>74996893</v>
      </c>
      <c r="J55" s="70">
        <f>SUM(F55:I55)</f>
        <v>74996893</v>
      </c>
      <c r="K55" s="70">
        <v>0</v>
      </c>
      <c r="L55" s="71">
        <f t="shared" si="0"/>
        <v>74996893</v>
      </c>
    </row>
    <row r="56" spans="1:12" ht="15" customHeight="1" x14ac:dyDescent="0.25">
      <c r="A56" s="455"/>
      <c r="B56" s="463"/>
      <c r="C56" s="476"/>
      <c r="D56" s="461"/>
      <c r="E56" s="259" t="s">
        <v>124</v>
      </c>
      <c r="F56" s="72">
        <v>0</v>
      </c>
      <c r="G56" s="72">
        <v>0</v>
      </c>
      <c r="H56" s="72">
        <v>0</v>
      </c>
      <c r="I56" s="72">
        <v>0</v>
      </c>
      <c r="J56" s="75">
        <f>SUM(F56:I56)</f>
        <v>0</v>
      </c>
      <c r="K56" s="72">
        <v>0</v>
      </c>
      <c r="L56" s="73">
        <f t="shared" si="0"/>
        <v>0</v>
      </c>
    </row>
    <row r="57" spans="1:12" ht="15" customHeight="1" thickBot="1" x14ac:dyDescent="0.3">
      <c r="A57" s="456"/>
      <c r="B57" s="464"/>
      <c r="C57" s="477"/>
      <c r="D57" s="462"/>
      <c r="E57" s="260" t="s">
        <v>116</v>
      </c>
      <c r="F57" s="224">
        <f t="shared" ref="F57:K57" si="15">SUM(F55:F56)</f>
        <v>0</v>
      </c>
      <c r="G57" s="224">
        <f t="shared" si="15"/>
        <v>0</v>
      </c>
      <c r="H57" s="224">
        <f t="shared" si="15"/>
        <v>0</v>
      </c>
      <c r="I57" s="224">
        <f t="shared" si="15"/>
        <v>74996893</v>
      </c>
      <c r="J57" s="224">
        <f t="shared" si="15"/>
        <v>74996893</v>
      </c>
      <c r="K57" s="224">
        <f t="shared" si="15"/>
        <v>0</v>
      </c>
      <c r="L57" s="225">
        <f t="shared" si="0"/>
        <v>74996893</v>
      </c>
    </row>
    <row r="58" spans="1:12" ht="15" customHeight="1" x14ac:dyDescent="0.25">
      <c r="A58" s="455" t="s">
        <v>146</v>
      </c>
      <c r="B58" s="472" t="s">
        <v>165</v>
      </c>
      <c r="C58" s="469" t="s">
        <v>164</v>
      </c>
      <c r="D58" s="461">
        <v>1</v>
      </c>
      <c r="E58" s="263" t="s">
        <v>123</v>
      </c>
      <c r="F58" s="75">
        <v>0</v>
      </c>
      <c r="G58" s="75">
        <v>0</v>
      </c>
      <c r="H58" s="75">
        <v>0</v>
      </c>
      <c r="I58" s="75">
        <v>216635</v>
      </c>
      <c r="J58" s="75">
        <f>SUM(F58:I58)</f>
        <v>216635</v>
      </c>
      <c r="K58" s="75">
        <v>0</v>
      </c>
      <c r="L58" s="74">
        <f t="shared" si="0"/>
        <v>216635</v>
      </c>
    </row>
    <row r="59" spans="1:12" ht="15" customHeight="1" x14ac:dyDescent="0.25">
      <c r="A59" s="455"/>
      <c r="B59" s="472"/>
      <c r="C59" s="469"/>
      <c r="D59" s="461"/>
      <c r="E59" s="259" t="s">
        <v>124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  <c r="K59" s="72">
        <v>0</v>
      </c>
      <c r="L59" s="73">
        <f t="shared" si="0"/>
        <v>0</v>
      </c>
    </row>
    <row r="60" spans="1:12" ht="15" customHeight="1" thickBot="1" x14ac:dyDescent="0.3">
      <c r="A60" s="456"/>
      <c r="B60" s="473"/>
      <c r="C60" s="470"/>
      <c r="D60" s="462"/>
      <c r="E60" s="260" t="s">
        <v>116</v>
      </c>
      <c r="F60" s="224">
        <f t="shared" ref="F60:K60" si="16">SUM(F58:F59)</f>
        <v>0</v>
      </c>
      <c r="G60" s="224">
        <f t="shared" si="16"/>
        <v>0</v>
      </c>
      <c r="H60" s="224">
        <f t="shared" si="16"/>
        <v>0</v>
      </c>
      <c r="I60" s="224">
        <f t="shared" si="16"/>
        <v>216635</v>
      </c>
      <c r="J60" s="224">
        <f t="shared" si="16"/>
        <v>216635</v>
      </c>
      <c r="K60" s="224">
        <f t="shared" si="16"/>
        <v>0</v>
      </c>
      <c r="L60" s="225">
        <f t="shared" si="0"/>
        <v>216635</v>
      </c>
    </row>
    <row r="61" spans="1:12" ht="15" customHeight="1" x14ac:dyDescent="0.25">
      <c r="A61" s="454" t="s">
        <v>147</v>
      </c>
      <c r="B61" s="467" t="s">
        <v>166</v>
      </c>
      <c r="C61" s="468" t="s">
        <v>167</v>
      </c>
      <c r="D61" s="460">
        <v>1</v>
      </c>
      <c r="E61" s="258" t="s">
        <v>123</v>
      </c>
      <c r="F61" s="70">
        <v>0</v>
      </c>
      <c r="G61" s="70">
        <v>0</v>
      </c>
      <c r="H61" s="70">
        <v>0</v>
      </c>
      <c r="I61" s="70">
        <v>246112</v>
      </c>
      <c r="J61" s="70">
        <f>SUM(F61:I61)</f>
        <v>246112</v>
      </c>
      <c r="K61" s="70">
        <v>0</v>
      </c>
      <c r="L61" s="71">
        <f t="shared" si="0"/>
        <v>246112</v>
      </c>
    </row>
    <row r="62" spans="1:12" ht="15" customHeight="1" x14ac:dyDescent="0.25">
      <c r="A62" s="455"/>
      <c r="B62" s="463"/>
      <c r="C62" s="469"/>
      <c r="D62" s="461"/>
      <c r="E62" s="259" t="s">
        <v>124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  <c r="L62" s="73">
        <f t="shared" si="0"/>
        <v>0</v>
      </c>
    </row>
    <row r="63" spans="1:12" ht="15" customHeight="1" thickBot="1" x14ac:dyDescent="0.3">
      <c r="A63" s="456"/>
      <c r="B63" s="464"/>
      <c r="C63" s="470"/>
      <c r="D63" s="462"/>
      <c r="E63" s="260" t="s">
        <v>116</v>
      </c>
      <c r="F63" s="224">
        <f t="shared" ref="F63:K63" si="17">SUM(F61:F62)</f>
        <v>0</v>
      </c>
      <c r="G63" s="224">
        <f t="shared" si="17"/>
        <v>0</v>
      </c>
      <c r="H63" s="224">
        <f t="shared" si="17"/>
        <v>0</v>
      </c>
      <c r="I63" s="224">
        <f t="shared" si="17"/>
        <v>246112</v>
      </c>
      <c r="J63" s="224">
        <f t="shared" si="17"/>
        <v>246112</v>
      </c>
      <c r="K63" s="224">
        <f t="shared" si="17"/>
        <v>0</v>
      </c>
      <c r="L63" s="225">
        <f t="shared" si="0"/>
        <v>246112</v>
      </c>
    </row>
    <row r="64" spans="1:12" ht="15" customHeight="1" x14ac:dyDescent="0.25">
      <c r="A64" s="454" t="s">
        <v>148</v>
      </c>
      <c r="B64" s="467" t="s">
        <v>162</v>
      </c>
      <c r="C64" s="468" t="s">
        <v>163</v>
      </c>
      <c r="D64" s="460">
        <v>1</v>
      </c>
      <c r="E64" s="258" t="s">
        <v>123</v>
      </c>
      <c r="F64" s="70">
        <v>0</v>
      </c>
      <c r="G64" s="70">
        <v>0</v>
      </c>
      <c r="H64" s="70">
        <v>0</v>
      </c>
      <c r="I64" s="70">
        <v>101369</v>
      </c>
      <c r="J64" s="70">
        <f>SUM(F64:I64)</f>
        <v>101369</v>
      </c>
      <c r="K64" s="70">
        <v>0</v>
      </c>
      <c r="L64" s="71">
        <f t="shared" si="0"/>
        <v>101369</v>
      </c>
    </row>
    <row r="65" spans="1:12" ht="15" customHeight="1" x14ac:dyDescent="0.25">
      <c r="A65" s="455"/>
      <c r="B65" s="463"/>
      <c r="C65" s="469"/>
      <c r="D65" s="461"/>
      <c r="E65" s="259" t="s">
        <v>124</v>
      </c>
      <c r="F65" s="72">
        <v>0</v>
      </c>
      <c r="G65" s="72">
        <v>0</v>
      </c>
      <c r="H65" s="72">
        <v>0</v>
      </c>
      <c r="I65" s="72">
        <v>0</v>
      </c>
      <c r="J65" s="72">
        <v>0</v>
      </c>
      <c r="K65" s="72">
        <v>0</v>
      </c>
      <c r="L65" s="73">
        <f t="shared" si="0"/>
        <v>0</v>
      </c>
    </row>
    <row r="66" spans="1:12" ht="15" customHeight="1" thickBot="1" x14ac:dyDescent="0.3">
      <c r="A66" s="456"/>
      <c r="B66" s="464"/>
      <c r="C66" s="470"/>
      <c r="D66" s="462"/>
      <c r="E66" s="260" t="s">
        <v>116</v>
      </c>
      <c r="F66" s="224">
        <f t="shared" ref="F66:K66" si="18">SUM(F64:F65)</f>
        <v>0</v>
      </c>
      <c r="G66" s="224">
        <f t="shared" si="18"/>
        <v>0</v>
      </c>
      <c r="H66" s="224">
        <f t="shared" si="18"/>
        <v>0</v>
      </c>
      <c r="I66" s="224">
        <f t="shared" si="18"/>
        <v>101369</v>
      </c>
      <c r="J66" s="224">
        <f t="shared" si="18"/>
        <v>101369</v>
      </c>
      <c r="K66" s="224">
        <f t="shared" si="18"/>
        <v>0</v>
      </c>
      <c r="L66" s="225">
        <f t="shared" si="0"/>
        <v>101369</v>
      </c>
    </row>
    <row r="67" spans="1:12" ht="15" customHeight="1" x14ac:dyDescent="0.25">
      <c r="A67" s="454" t="s">
        <v>168</v>
      </c>
      <c r="B67" s="463" t="s">
        <v>158</v>
      </c>
      <c r="C67" s="469" t="s">
        <v>159</v>
      </c>
      <c r="D67" s="461">
        <v>1</v>
      </c>
      <c r="E67" s="258" t="s">
        <v>123</v>
      </c>
      <c r="F67" s="70">
        <v>0</v>
      </c>
      <c r="G67" s="70">
        <v>0</v>
      </c>
      <c r="H67" s="70">
        <v>0</v>
      </c>
      <c r="I67" s="70">
        <v>1065981</v>
      </c>
      <c r="J67" s="70">
        <f>SUM(F67:I67)</f>
        <v>1065981</v>
      </c>
      <c r="K67" s="70">
        <v>0</v>
      </c>
      <c r="L67" s="71">
        <f t="shared" si="0"/>
        <v>1065981</v>
      </c>
    </row>
    <row r="68" spans="1:12" ht="15" customHeight="1" x14ac:dyDescent="0.25">
      <c r="A68" s="455"/>
      <c r="B68" s="463"/>
      <c r="C68" s="469"/>
      <c r="D68" s="461"/>
      <c r="E68" s="259" t="s">
        <v>124</v>
      </c>
      <c r="F68" s="72">
        <v>0</v>
      </c>
      <c r="G68" s="72">
        <v>0</v>
      </c>
      <c r="H68" s="72">
        <v>0</v>
      </c>
      <c r="I68" s="72">
        <v>0</v>
      </c>
      <c r="J68" s="72">
        <v>0</v>
      </c>
      <c r="K68" s="72">
        <v>0</v>
      </c>
      <c r="L68" s="73">
        <f t="shared" si="0"/>
        <v>0</v>
      </c>
    </row>
    <row r="69" spans="1:12" ht="15" customHeight="1" thickBot="1" x14ac:dyDescent="0.3">
      <c r="A69" s="455"/>
      <c r="B69" s="463"/>
      <c r="C69" s="469"/>
      <c r="D69" s="461"/>
      <c r="E69" s="264" t="s">
        <v>116</v>
      </c>
      <c r="F69" s="243">
        <f t="shared" ref="F69:K69" si="19">SUM(F67:F68)</f>
        <v>0</v>
      </c>
      <c r="G69" s="243">
        <f t="shared" si="19"/>
        <v>0</v>
      </c>
      <c r="H69" s="243">
        <f t="shared" si="19"/>
        <v>0</v>
      </c>
      <c r="I69" s="243">
        <f t="shared" si="19"/>
        <v>1065981</v>
      </c>
      <c r="J69" s="243">
        <f t="shared" si="19"/>
        <v>1065981</v>
      </c>
      <c r="K69" s="243">
        <f t="shared" si="19"/>
        <v>0</v>
      </c>
      <c r="L69" s="244">
        <f t="shared" si="0"/>
        <v>1065981</v>
      </c>
    </row>
    <row r="70" spans="1:12" ht="15" customHeight="1" x14ac:dyDescent="0.25">
      <c r="A70" s="454" t="s">
        <v>169</v>
      </c>
      <c r="B70" s="467" t="s">
        <v>160</v>
      </c>
      <c r="C70" s="468" t="s">
        <v>161</v>
      </c>
      <c r="D70" s="460">
        <v>1</v>
      </c>
      <c r="E70" s="258" t="s">
        <v>123</v>
      </c>
      <c r="F70" s="70">
        <v>0</v>
      </c>
      <c r="G70" s="70">
        <v>0</v>
      </c>
      <c r="H70" s="70">
        <v>0</v>
      </c>
      <c r="I70" s="70">
        <f>506676+175200</f>
        <v>681876</v>
      </c>
      <c r="J70" s="70">
        <f>SUM(F70:I70)</f>
        <v>681876</v>
      </c>
      <c r="K70" s="70">
        <v>0</v>
      </c>
      <c r="L70" s="71">
        <f t="shared" si="0"/>
        <v>681876</v>
      </c>
    </row>
    <row r="71" spans="1:12" ht="15" customHeight="1" x14ac:dyDescent="0.25">
      <c r="A71" s="455"/>
      <c r="B71" s="463"/>
      <c r="C71" s="469"/>
      <c r="D71" s="461"/>
      <c r="E71" s="259" t="s">
        <v>124</v>
      </c>
      <c r="F71" s="72">
        <v>0</v>
      </c>
      <c r="G71" s="72">
        <v>0</v>
      </c>
      <c r="H71" s="72">
        <v>0</v>
      </c>
      <c r="I71" s="72">
        <v>0</v>
      </c>
      <c r="J71" s="72">
        <v>0</v>
      </c>
      <c r="K71" s="72">
        <v>0</v>
      </c>
      <c r="L71" s="73">
        <f t="shared" si="0"/>
        <v>0</v>
      </c>
    </row>
    <row r="72" spans="1:12" ht="15" customHeight="1" thickBot="1" x14ac:dyDescent="0.3">
      <c r="A72" s="456"/>
      <c r="B72" s="464"/>
      <c r="C72" s="470"/>
      <c r="D72" s="462"/>
      <c r="E72" s="260" t="s">
        <v>116</v>
      </c>
      <c r="F72" s="224">
        <f t="shared" ref="F72:K72" si="20">SUM(F70:F71)</f>
        <v>0</v>
      </c>
      <c r="G72" s="224">
        <f t="shared" si="20"/>
        <v>0</v>
      </c>
      <c r="H72" s="224">
        <f t="shared" si="20"/>
        <v>0</v>
      </c>
      <c r="I72" s="224">
        <f t="shared" si="20"/>
        <v>681876</v>
      </c>
      <c r="J72" s="224">
        <f t="shared" si="20"/>
        <v>681876</v>
      </c>
      <c r="K72" s="224">
        <f t="shared" si="20"/>
        <v>0</v>
      </c>
      <c r="L72" s="225">
        <f t="shared" si="0"/>
        <v>681876</v>
      </c>
    </row>
    <row r="73" spans="1:12" ht="15" customHeight="1" x14ac:dyDescent="0.25">
      <c r="A73" s="454" t="s">
        <v>170</v>
      </c>
      <c r="B73" s="467" t="s">
        <v>174</v>
      </c>
      <c r="C73" s="468" t="s">
        <v>175</v>
      </c>
      <c r="D73" s="460">
        <v>1</v>
      </c>
      <c r="E73" s="258" t="s">
        <v>123</v>
      </c>
      <c r="F73" s="70">
        <v>0</v>
      </c>
      <c r="G73" s="70">
        <v>0</v>
      </c>
      <c r="H73" s="70">
        <v>0</v>
      </c>
      <c r="I73" s="70">
        <v>242816</v>
      </c>
      <c r="J73" s="70">
        <f>SUM(F73:I73)</f>
        <v>242816</v>
      </c>
      <c r="K73" s="70">
        <v>0</v>
      </c>
      <c r="L73" s="71">
        <f t="shared" si="0"/>
        <v>242816</v>
      </c>
    </row>
    <row r="74" spans="1:12" ht="15" customHeight="1" x14ac:dyDescent="0.25">
      <c r="A74" s="455"/>
      <c r="B74" s="463"/>
      <c r="C74" s="469"/>
      <c r="D74" s="461"/>
      <c r="E74" s="259" t="s">
        <v>124</v>
      </c>
      <c r="F74" s="72">
        <v>0</v>
      </c>
      <c r="G74" s="72">
        <v>0</v>
      </c>
      <c r="H74" s="72">
        <v>0</v>
      </c>
      <c r="I74" s="72">
        <v>0</v>
      </c>
      <c r="J74" s="72">
        <v>0</v>
      </c>
      <c r="K74" s="72">
        <v>0</v>
      </c>
      <c r="L74" s="73">
        <f t="shared" si="0"/>
        <v>0</v>
      </c>
    </row>
    <row r="75" spans="1:12" ht="15" customHeight="1" thickBot="1" x14ac:dyDescent="0.3">
      <c r="A75" s="456"/>
      <c r="B75" s="464"/>
      <c r="C75" s="470"/>
      <c r="D75" s="462"/>
      <c r="E75" s="260" t="s">
        <v>116</v>
      </c>
      <c r="F75" s="224">
        <f t="shared" ref="F75:K75" si="21">SUM(F73:F74)</f>
        <v>0</v>
      </c>
      <c r="G75" s="224">
        <f t="shared" si="21"/>
        <v>0</v>
      </c>
      <c r="H75" s="224">
        <f t="shared" si="21"/>
        <v>0</v>
      </c>
      <c r="I75" s="224">
        <f t="shared" si="21"/>
        <v>242816</v>
      </c>
      <c r="J75" s="224">
        <f t="shared" si="21"/>
        <v>242816</v>
      </c>
      <c r="K75" s="224">
        <f t="shared" si="21"/>
        <v>0</v>
      </c>
      <c r="L75" s="225">
        <f t="shared" si="0"/>
        <v>242816</v>
      </c>
    </row>
    <row r="76" spans="1:12" ht="15" customHeight="1" x14ac:dyDescent="0.25">
      <c r="A76" s="478" t="s">
        <v>125</v>
      </c>
      <c r="B76" s="479"/>
      <c r="C76" s="479"/>
      <c r="D76" s="480"/>
      <c r="E76" s="233" t="s">
        <v>123</v>
      </c>
      <c r="F76" s="132">
        <f t="shared" ref="F76:L77" si="22">F13+F16+F19+F22+F25+F28+F31+F34+F37+F40+F43+F46+F49+F52+F55+F58+F61+F64+F67+F70+F73</f>
        <v>511618347</v>
      </c>
      <c r="G76" s="132">
        <f t="shared" si="22"/>
        <v>109091001</v>
      </c>
      <c r="H76" s="132">
        <f t="shared" si="22"/>
        <v>2664000</v>
      </c>
      <c r="I76" s="132">
        <f t="shared" si="22"/>
        <v>463472550</v>
      </c>
      <c r="J76" s="132">
        <f t="shared" si="22"/>
        <v>1086845898</v>
      </c>
      <c r="K76" s="132">
        <f t="shared" si="22"/>
        <v>10501978</v>
      </c>
      <c r="L76" s="234">
        <f t="shared" si="22"/>
        <v>1097347876</v>
      </c>
    </row>
    <row r="77" spans="1:12" ht="15" customHeight="1" x14ac:dyDescent="0.25">
      <c r="A77" s="481"/>
      <c r="B77" s="482"/>
      <c r="C77" s="482"/>
      <c r="D77" s="483"/>
      <c r="E77" s="235" t="s">
        <v>124</v>
      </c>
      <c r="F77" s="133">
        <f t="shared" si="22"/>
        <v>33900000</v>
      </c>
      <c r="G77" s="133">
        <f t="shared" si="22"/>
        <v>0</v>
      </c>
      <c r="H77" s="133">
        <f t="shared" si="22"/>
        <v>0</v>
      </c>
      <c r="I77" s="133">
        <f t="shared" si="22"/>
        <v>0</v>
      </c>
      <c r="J77" s="133">
        <f t="shared" si="22"/>
        <v>33900000</v>
      </c>
      <c r="K77" s="133">
        <f t="shared" si="22"/>
        <v>0</v>
      </c>
      <c r="L77" s="236">
        <f t="shared" si="22"/>
        <v>33900000</v>
      </c>
    </row>
    <row r="78" spans="1:12" ht="15" customHeight="1" thickBot="1" x14ac:dyDescent="0.3">
      <c r="A78" s="402"/>
      <c r="B78" s="403"/>
      <c r="C78" s="403"/>
      <c r="D78" s="484"/>
      <c r="E78" s="129" t="s">
        <v>116</v>
      </c>
      <c r="F78" s="134">
        <f t="shared" ref="F78:L78" si="23">SUM(F76:F77)</f>
        <v>545518347</v>
      </c>
      <c r="G78" s="134">
        <f t="shared" ref="G78" si="24">SUM(G76:G77)</f>
        <v>109091001</v>
      </c>
      <c r="H78" s="134">
        <f t="shared" si="23"/>
        <v>2664000</v>
      </c>
      <c r="I78" s="134">
        <f t="shared" si="23"/>
        <v>463472550</v>
      </c>
      <c r="J78" s="134">
        <f t="shared" si="23"/>
        <v>1120745898</v>
      </c>
      <c r="K78" s="134">
        <f t="shared" si="23"/>
        <v>10501978</v>
      </c>
      <c r="L78" s="135">
        <f t="shared" si="23"/>
        <v>1131247876</v>
      </c>
    </row>
  </sheetData>
  <mergeCells count="106">
    <mergeCell ref="A76:D78"/>
    <mergeCell ref="A70:A72"/>
    <mergeCell ref="B70:B72"/>
    <mergeCell ref="C70:C72"/>
    <mergeCell ref="D70:D72"/>
    <mergeCell ref="A55:A57"/>
    <mergeCell ref="B55:B57"/>
    <mergeCell ref="C55:C57"/>
    <mergeCell ref="D55:D57"/>
    <mergeCell ref="A64:A66"/>
    <mergeCell ref="B64:B66"/>
    <mergeCell ref="C64:C66"/>
    <mergeCell ref="D64:D66"/>
    <mergeCell ref="A73:A75"/>
    <mergeCell ref="B73:B75"/>
    <mergeCell ref="C73:C75"/>
    <mergeCell ref="D73:D75"/>
    <mergeCell ref="A67:A69"/>
    <mergeCell ref="B67:B69"/>
    <mergeCell ref="C67:C69"/>
    <mergeCell ref="D67:D69"/>
    <mergeCell ref="A58:A60"/>
    <mergeCell ref="B58:B60"/>
    <mergeCell ref="C58:C60"/>
    <mergeCell ref="D58:D60"/>
    <mergeCell ref="A61:A63"/>
    <mergeCell ref="B61:B63"/>
    <mergeCell ref="C61:C63"/>
    <mergeCell ref="D61:D63"/>
    <mergeCell ref="A46:A48"/>
    <mergeCell ref="B46:B48"/>
    <mergeCell ref="C46:C48"/>
    <mergeCell ref="D46:D48"/>
    <mergeCell ref="A49:A51"/>
    <mergeCell ref="B49:B51"/>
    <mergeCell ref="C49:C51"/>
    <mergeCell ref="D49:D51"/>
    <mergeCell ref="A52:A54"/>
    <mergeCell ref="B52:B54"/>
    <mergeCell ref="C52:C54"/>
    <mergeCell ref="D52:D54"/>
    <mergeCell ref="A40:A42"/>
    <mergeCell ref="B40:B42"/>
    <mergeCell ref="C40:C42"/>
    <mergeCell ref="D40:D42"/>
    <mergeCell ref="A43:A45"/>
    <mergeCell ref="B43:B45"/>
    <mergeCell ref="C43:C45"/>
    <mergeCell ref="D43:D45"/>
    <mergeCell ref="A31:A33"/>
    <mergeCell ref="B31:B33"/>
    <mergeCell ref="C31:C33"/>
    <mergeCell ref="D31:D33"/>
    <mergeCell ref="A34:A36"/>
    <mergeCell ref="B34:B36"/>
    <mergeCell ref="C34:C36"/>
    <mergeCell ref="D34:D36"/>
    <mergeCell ref="A37:A39"/>
    <mergeCell ref="B37:B39"/>
    <mergeCell ref="C37:C39"/>
    <mergeCell ref="D37:D39"/>
    <mergeCell ref="A28:A30"/>
    <mergeCell ref="B28:B30"/>
    <mergeCell ref="C28:C30"/>
    <mergeCell ref="D28:D30"/>
    <mergeCell ref="A19:A21"/>
    <mergeCell ref="B19:B21"/>
    <mergeCell ref="C19:C21"/>
    <mergeCell ref="D19:D21"/>
    <mergeCell ref="A22:A24"/>
    <mergeCell ref="B22:B24"/>
    <mergeCell ref="C22:C24"/>
    <mergeCell ref="D22:D24"/>
    <mergeCell ref="A25:A27"/>
    <mergeCell ref="B25:B27"/>
    <mergeCell ref="C25:C27"/>
    <mergeCell ref="D25:D27"/>
    <mergeCell ref="A13:A15"/>
    <mergeCell ref="B13:B15"/>
    <mergeCell ref="C13:C15"/>
    <mergeCell ref="D13:D15"/>
    <mergeCell ref="A16:A18"/>
    <mergeCell ref="B16:B18"/>
    <mergeCell ref="C16:C18"/>
    <mergeCell ref="D16:D18"/>
    <mergeCell ref="E1:L1"/>
    <mergeCell ref="A6:L6"/>
    <mergeCell ref="A7:L7"/>
    <mergeCell ref="K8:L8"/>
    <mergeCell ref="A9:A12"/>
    <mergeCell ref="B9:D9"/>
    <mergeCell ref="E9:J9"/>
    <mergeCell ref="K9:K12"/>
    <mergeCell ref="L9:L12"/>
    <mergeCell ref="B10:B12"/>
    <mergeCell ref="C10:C12"/>
    <mergeCell ref="D10:D12"/>
    <mergeCell ref="E10:E12"/>
    <mergeCell ref="F10:J10"/>
    <mergeCell ref="F11:G11"/>
    <mergeCell ref="H11:H12"/>
    <mergeCell ref="I11:I12"/>
    <mergeCell ref="J11:J12"/>
    <mergeCell ref="E2:L2"/>
    <mergeCell ref="A4:L4"/>
    <mergeCell ref="A5:L5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r:id="rId1"/>
  <rowBreaks count="1" manualBreakCount="1">
    <brk id="45" max="11" man="1"/>
  </rowBreaks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065FF-D671-47BD-A755-7D5F20B2D621}">
  <sheetPr>
    <tabColor theme="6" tint="0.59999389629810485"/>
  </sheetPr>
  <dimension ref="A1:K80"/>
  <sheetViews>
    <sheetView topLeftCell="A28" zoomScaleNormal="100" workbookViewId="0">
      <selection activeCell="K47" sqref="K47"/>
    </sheetView>
  </sheetViews>
  <sheetFormatPr defaultRowHeight="15.75" x14ac:dyDescent="0.25"/>
  <cols>
    <col min="1" max="1" width="4.5703125" style="88" customWidth="1"/>
    <col min="2" max="2" width="20.140625" style="88" customWidth="1"/>
    <col min="3" max="3" width="29.140625" style="88" customWidth="1"/>
    <col min="4" max="4" width="13.28515625" style="88" customWidth="1"/>
    <col min="5" max="5" width="13.42578125" style="88" customWidth="1"/>
    <col min="6" max="6" width="13.7109375" style="88" customWidth="1"/>
    <col min="7" max="7" width="11.7109375" style="88" customWidth="1"/>
    <col min="8" max="8" width="13.7109375" style="88" customWidth="1"/>
    <col min="9" max="9" width="11.7109375" style="88" customWidth="1"/>
    <col min="10" max="10" width="13.28515625" style="88" customWidth="1"/>
    <col min="11" max="11" width="14.7109375" style="88" customWidth="1"/>
    <col min="12" max="12" width="9.140625" style="88"/>
    <col min="13" max="13" width="10.140625" style="88" bestFit="1" customWidth="1"/>
    <col min="14" max="16384" width="9.140625" style="88"/>
  </cols>
  <sheetData>
    <row r="1" spans="1:11" ht="18" customHeight="1" x14ac:dyDescent="0.25">
      <c r="A1" s="4"/>
      <c r="B1" s="4"/>
      <c r="C1" s="4"/>
      <c r="D1" s="4"/>
      <c r="E1" s="391" t="s">
        <v>242</v>
      </c>
      <c r="F1" s="391"/>
      <c r="G1" s="391"/>
      <c r="H1" s="391"/>
      <c r="I1" s="391"/>
      <c r="J1" s="391"/>
      <c r="K1" s="391"/>
    </row>
    <row r="2" spans="1:11" ht="18" customHeight="1" x14ac:dyDescent="0.25">
      <c r="A2" s="4"/>
      <c r="B2" s="4"/>
      <c r="C2" s="4"/>
      <c r="D2" s="4"/>
      <c r="E2" s="391" t="s">
        <v>243</v>
      </c>
      <c r="F2" s="391"/>
      <c r="G2" s="391"/>
      <c r="H2" s="391"/>
      <c r="I2" s="391"/>
      <c r="J2" s="391"/>
      <c r="K2" s="391"/>
    </row>
    <row r="3" spans="1:11" ht="16.5" customHeight="1" x14ac:dyDescent="0.25">
      <c r="A3" s="101"/>
      <c r="B3" s="101"/>
      <c r="C3" s="101"/>
      <c r="D3" s="101"/>
      <c r="E3" s="101"/>
      <c r="F3" s="61"/>
      <c r="G3" s="61"/>
      <c r="H3" s="58"/>
      <c r="I3" s="61"/>
      <c r="J3" s="61"/>
      <c r="K3" s="61"/>
    </row>
    <row r="4" spans="1:11" ht="16.5" customHeight="1" x14ac:dyDescent="0.25">
      <c r="A4" s="382" t="s">
        <v>220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</row>
    <row r="5" spans="1:11" ht="15.95" customHeight="1" x14ac:dyDescent="0.25">
      <c r="A5" s="400" t="s">
        <v>145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</row>
    <row r="6" spans="1:11" s="86" customFormat="1" ht="15.95" customHeight="1" x14ac:dyDescent="0.25">
      <c r="A6" s="382" t="s">
        <v>221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</row>
    <row r="7" spans="1:11" s="86" customFormat="1" ht="15.95" customHeight="1" x14ac:dyDescent="0.25">
      <c r="A7" s="382" t="s">
        <v>222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</row>
    <row r="8" spans="1:11" ht="16.5" thickBot="1" x14ac:dyDescent="0.3">
      <c r="J8" s="426" t="s">
        <v>182</v>
      </c>
      <c r="K8" s="426"/>
    </row>
    <row r="9" spans="1:11" ht="15.95" customHeight="1" x14ac:dyDescent="0.25">
      <c r="A9" s="427" t="s">
        <v>9</v>
      </c>
      <c r="B9" s="430" t="s">
        <v>107</v>
      </c>
      <c r="C9" s="431"/>
      <c r="D9" s="432"/>
      <c r="E9" s="433" t="s">
        <v>126</v>
      </c>
      <c r="F9" s="434"/>
      <c r="G9" s="434"/>
      <c r="H9" s="434"/>
      <c r="I9" s="434"/>
      <c r="J9" s="434"/>
      <c r="K9" s="486"/>
    </row>
    <row r="10" spans="1:11" ht="15.95" customHeight="1" x14ac:dyDescent="0.25">
      <c r="A10" s="428"/>
      <c r="B10" s="487" t="s">
        <v>111</v>
      </c>
      <c r="C10" s="442" t="s">
        <v>112</v>
      </c>
      <c r="D10" s="442" t="s">
        <v>142</v>
      </c>
      <c r="E10" s="442" t="s">
        <v>120</v>
      </c>
      <c r="F10" s="446" t="s">
        <v>121</v>
      </c>
      <c r="G10" s="447"/>
      <c r="H10" s="447"/>
      <c r="I10" s="447"/>
      <c r="J10" s="447"/>
      <c r="K10" s="485"/>
    </row>
    <row r="11" spans="1:11" ht="24.75" customHeight="1" thickBot="1" x14ac:dyDescent="0.3">
      <c r="A11" s="429"/>
      <c r="B11" s="488"/>
      <c r="C11" s="438"/>
      <c r="D11" s="438"/>
      <c r="E11" s="438"/>
      <c r="F11" s="136" t="s">
        <v>127</v>
      </c>
      <c r="G11" s="136" t="s">
        <v>128</v>
      </c>
      <c r="H11" s="136" t="s">
        <v>129</v>
      </c>
      <c r="I11" s="137" t="s">
        <v>132</v>
      </c>
      <c r="J11" s="138" t="s">
        <v>130</v>
      </c>
      <c r="K11" s="139" t="s">
        <v>116</v>
      </c>
    </row>
    <row r="12" spans="1:11" ht="15" customHeight="1" x14ac:dyDescent="0.25">
      <c r="A12" s="454" t="s">
        <v>1</v>
      </c>
      <c r="B12" s="457" t="s">
        <v>154</v>
      </c>
      <c r="C12" s="457" t="s">
        <v>155</v>
      </c>
      <c r="D12" s="460">
        <v>0.95</v>
      </c>
      <c r="E12" s="221" t="s">
        <v>123</v>
      </c>
      <c r="F12" s="70">
        <v>1463600</v>
      </c>
      <c r="G12" s="70">
        <v>189268</v>
      </c>
      <c r="H12" s="70">
        <v>458749</v>
      </c>
      <c r="I12" s="70">
        <v>0</v>
      </c>
      <c r="J12" s="77">
        <v>0</v>
      </c>
      <c r="K12" s="71">
        <f>F12+G12+H12+I12+J12</f>
        <v>2111617</v>
      </c>
    </row>
    <row r="13" spans="1:11" ht="15" customHeight="1" x14ac:dyDescent="0.25">
      <c r="A13" s="455"/>
      <c r="B13" s="458"/>
      <c r="C13" s="458"/>
      <c r="D13" s="461"/>
      <c r="E13" s="222" t="s">
        <v>124</v>
      </c>
      <c r="F13" s="78">
        <v>0</v>
      </c>
      <c r="G13" s="78">
        <v>0</v>
      </c>
      <c r="H13" s="78">
        <v>0</v>
      </c>
      <c r="I13" s="78">
        <v>0</v>
      </c>
      <c r="J13" s="76">
        <v>0</v>
      </c>
      <c r="K13" s="74">
        <f>F13+G13+H13+I13+J13</f>
        <v>0</v>
      </c>
    </row>
    <row r="14" spans="1:11" ht="15" customHeight="1" thickBot="1" x14ac:dyDescent="0.3">
      <c r="A14" s="456"/>
      <c r="B14" s="459"/>
      <c r="C14" s="459"/>
      <c r="D14" s="462"/>
      <c r="E14" s="223" t="s">
        <v>116</v>
      </c>
      <c r="F14" s="224">
        <f t="shared" ref="F14:K14" si="0">SUM(F12:F13)</f>
        <v>1463600</v>
      </c>
      <c r="G14" s="224">
        <f t="shared" si="0"/>
        <v>189268</v>
      </c>
      <c r="H14" s="224">
        <f t="shared" si="0"/>
        <v>458749</v>
      </c>
      <c r="I14" s="224">
        <f t="shared" si="0"/>
        <v>0</v>
      </c>
      <c r="J14" s="224">
        <f t="shared" si="0"/>
        <v>0</v>
      </c>
      <c r="K14" s="225">
        <f t="shared" si="0"/>
        <v>2111617</v>
      </c>
    </row>
    <row r="15" spans="1:11" ht="15" customHeight="1" x14ac:dyDescent="0.25">
      <c r="A15" s="454" t="s">
        <v>2</v>
      </c>
      <c r="B15" s="457" t="s">
        <v>156</v>
      </c>
      <c r="C15" s="457" t="s">
        <v>157</v>
      </c>
      <c r="D15" s="460">
        <v>0.95</v>
      </c>
      <c r="E15" s="221" t="s">
        <v>123</v>
      </c>
      <c r="F15" s="70">
        <v>831800</v>
      </c>
      <c r="G15" s="70">
        <v>112134</v>
      </c>
      <c r="H15" s="70">
        <v>553117</v>
      </c>
      <c r="I15" s="70">
        <v>0</v>
      </c>
      <c r="J15" s="77">
        <v>0</v>
      </c>
      <c r="K15" s="71">
        <f>F15+G15+H15+I15+J15</f>
        <v>1497051</v>
      </c>
    </row>
    <row r="16" spans="1:11" ht="15" customHeight="1" x14ac:dyDescent="0.25">
      <c r="A16" s="455"/>
      <c r="B16" s="458"/>
      <c r="C16" s="458"/>
      <c r="D16" s="461"/>
      <c r="E16" s="222" t="s">
        <v>124</v>
      </c>
      <c r="F16" s="78">
        <v>1200000</v>
      </c>
      <c r="G16" s="78">
        <v>156000</v>
      </c>
      <c r="H16" s="78">
        <v>0</v>
      </c>
      <c r="I16" s="78">
        <v>0</v>
      </c>
      <c r="J16" s="76">
        <v>0</v>
      </c>
      <c r="K16" s="74">
        <f>F16+G16+H16+I16+J16</f>
        <v>1356000</v>
      </c>
    </row>
    <row r="17" spans="1:11" ht="15" customHeight="1" thickBot="1" x14ac:dyDescent="0.3">
      <c r="A17" s="456"/>
      <c r="B17" s="459"/>
      <c r="C17" s="459"/>
      <c r="D17" s="462"/>
      <c r="E17" s="223" t="s">
        <v>116</v>
      </c>
      <c r="F17" s="224">
        <f t="shared" ref="F17:K17" si="1">SUM(F15:F16)</f>
        <v>2031800</v>
      </c>
      <c r="G17" s="224">
        <f t="shared" si="1"/>
        <v>268134</v>
      </c>
      <c r="H17" s="224">
        <f t="shared" si="1"/>
        <v>553117</v>
      </c>
      <c r="I17" s="224">
        <f t="shared" si="1"/>
        <v>0</v>
      </c>
      <c r="J17" s="224">
        <f t="shared" si="1"/>
        <v>0</v>
      </c>
      <c r="K17" s="225">
        <f t="shared" si="1"/>
        <v>2853051</v>
      </c>
    </row>
    <row r="18" spans="1:11" ht="15" customHeight="1" x14ac:dyDescent="0.25">
      <c r="A18" s="454" t="s">
        <v>4</v>
      </c>
      <c r="B18" s="457" t="s">
        <v>225</v>
      </c>
      <c r="C18" s="457" t="s">
        <v>226</v>
      </c>
      <c r="D18" s="460">
        <v>0.95</v>
      </c>
      <c r="E18" s="221" t="s">
        <v>123</v>
      </c>
      <c r="F18" s="227">
        <v>400000</v>
      </c>
      <c r="G18" s="227">
        <v>52000</v>
      </c>
      <c r="H18" s="227">
        <v>3366882</v>
      </c>
      <c r="I18" s="227">
        <v>0</v>
      </c>
      <c r="J18" s="237">
        <v>380000</v>
      </c>
      <c r="K18" s="228">
        <f>F18+G18+H18+I18+J18</f>
        <v>4198882</v>
      </c>
    </row>
    <row r="19" spans="1:11" ht="15" customHeight="1" x14ac:dyDescent="0.25">
      <c r="A19" s="455"/>
      <c r="B19" s="458"/>
      <c r="C19" s="458"/>
      <c r="D19" s="461"/>
      <c r="E19" s="222" t="s">
        <v>124</v>
      </c>
      <c r="F19" s="238">
        <v>11626446</v>
      </c>
      <c r="G19" s="238">
        <v>1511438</v>
      </c>
      <c r="H19" s="238">
        <v>1450883</v>
      </c>
      <c r="I19" s="238">
        <v>0</v>
      </c>
      <c r="J19" s="239">
        <v>0</v>
      </c>
      <c r="K19" s="231">
        <f>F19+G19+H19+I19+J19</f>
        <v>14588767</v>
      </c>
    </row>
    <row r="20" spans="1:11" ht="15" customHeight="1" thickBot="1" x14ac:dyDescent="0.3">
      <c r="A20" s="456"/>
      <c r="B20" s="459"/>
      <c r="C20" s="459"/>
      <c r="D20" s="462"/>
      <c r="E20" s="223" t="s">
        <v>116</v>
      </c>
      <c r="F20" s="224">
        <f t="shared" ref="F20:K20" si="2">SUM(F18:F19)</f>
        <v>12026446</v>
      </c>
      <c r="G20" s="224">
        <f t="shared" si="2"/>
        <v>1563438</v>
      </c>
      <c r="H20" s="224">
        <f t="shared" si="2"/>
        <v>4817765</v>
      </c>
      <c r="I20" s="224">
        <f t="shared" si="2"/>
        <v>0</v>
      </c>
      <c r="J20" s="224">
        <f t="shared" si="2"/>
        <v>380000</v>
      </c>
      <c r="K20" s="225">
        <f t="shared" si="2"/>
        <v>18787649</v>
      </c>
    </row>
    <row r="21" spans="1:11" s="229" customFormat="1" ht="15" customHeight="1" x14ac:dyDescent="0.25">
      <c r="A21" s="454" t="s">
        <v>5</v>
      </c>
      <c r="B21" s="457" t="s">
        <v>227</v>
      </c>
      <c r="C21" s="457" t="s">
        <v>228</v>
      </c>
      <c r="D21" s="460">
        <v>0.95</v>
      </c>
      <c r="E21" s="226" t="s">
        <v>123</v>
      </c>
      <c r="F21" s="70">
        <v>400000</v>
      </c>
      <c r="G21" s="70">
        <v>52000</v>
      </c>
      <c r="H21" s="70">
        <v>3751626</v>
      </c>
      <c r="I21" s="70">
        <v>0</v>
      </c>
      <c r="J21" s="77">
        <v>0</v>
      </c>
      <c r="K21" s="71">
        <f>F21+G21+H21+I21+J21</f>
        <v>4203626</v>
      </c>
    </row>
    <row r="22" spans="1:11" ht="15" customHeight="1" x14ac:dyDescent="0.25">
      <c r="A22" s="455"/>
      <c r="B22" s="458"/>
      <c r="C22" s="458"/>
      <c r="D22" s="461"/>
      <c r="E22" s="222" t="s">
        <v>124</v>
      </c>
      <c r="F22" s="78">
        <v>11807825</v>
      </c>
      <c r="G22" s="78">
        <v>1535017</v>
      </c>
      <c r="H22" s="78">
        <v>1481626</v>
      </c>
      <c r="I22" s="78">
        <v>0</v>
      </c>
      <c r="J22" s="76">
        <v>0</v>
      </c>
      <c r="K22" s="74">
        <f>F22+G22+H22+I22+J22</f>
        <v>14824468</v>
      </c>
    </row>
    <row r="23" spans="1:11" ht="15" customHeight="1" thickBot="1" x14ac:dyDescent="0.3">
      <c r="A23" s="456"/>
      <c r="B23" s="459"/>
      <c r="C23" s="459"/>
      <c r="D23" s="462"/>
      <c r="E23" s="223" t="s">
        <v>116</v>
      </c>
      <c r="F23" s="224">
        <f t="shared" ref="F23:K23" si="3">SUM(F21:F22)</f>
        <v>12207825</v>
      </c>
      <c r="G23" s="224">
        <f t="shared" si="3"/>
        <v>1587017</v>
      </c>
      <c r="H23" s="224">
        <f t="shared" si="3"/>
        <v>5233252</v>
      </c>
      <c r="I23" s="224">
        <f t="shared" si="3"/>
        <v>0</v>
      </c>
      <c r="J23" s="224">
        <f t="shared" si="3"/>
        <v>0</v>
      </c>
      <c r="K23" s="225">
        <f t="shared" si="3"/>
        <v>19028094</v>
      </c>
    </row>
    <row r="24" spans="1:11" ht="15" customHeight="1" x14ac:dyDescent="0.25">
      <c r="A24" s="454" t="s">
        <v>7</v>
      </c>
      <c r="B24" s="457" t="s">
        <v>229</v>
      </c>
      <c r="C24" s="457" t="s">
        <v>230</v>
      </c>
      <c r="D24" s="460">
        <v>0.95</v>
      </c>
      <c r="E24" s="221" t="s">
        <v>123</v>
      </c>
      <c r="F24" s="70">
        <v>400000</v>
      </c>
      <c r="G24" s="70">
        <v>52000</v>
      </c>
      <c r="H24" s="70">
        <v>6345611</v>
      </c>
      <c r="I24" s="70">
        <v>0</v>
      </c>
      <c r="J24" s="77">
        <v>0</v>
      </c>
      <c r="K24" s="71">
        <f>F24+G24+H24+I24+J24</f>
        <v>6797611</v>
      </c>
    </row>
    <row r="25" spans="1:11" ht="15" customHeight="1" x14ac:dyDescent="0.25">
      <c r="A25" s="455"/>
      <c r="B25" s="458"/>
      <c r="C25" s="458"/>
      <c r="D25" s="461"/>
      <c r="E25" s="222" t="s">
        <v>124</v>
      </c>
      <c r="F25" s="78">
        <v>10710388</v>
      </c>
      <c r="G25" s="78">
        <v>1392350</v>
      </c>
      <c r="H25" s="78">
        <v>1295611</v>
      </c>
      <c r="I25" s="78">
        <v>0</v>
      </c>
      <c r="J25" s="76">
        <v>0</v>
      </c>
      <c r="K25" s="74">
        <f>F25+G25+H25+I25+J25</f>
        <v>13398349</v>
      </c>
    </row>
    <row r="26" spans="1:11" ht="15" customHeight="1" thickBot="1" x14ac:dyDescent="0.3">
      <c r="A26" s="456"/>
      <c r="B26" s="459"/>
      <c r="C26" s="459"/>
      <c r="D26" s="462"/>
      <c r="E26" s="223" t="s">
        <v>116</v>
      </c>
      <c r="F26" s="224">
        <f t="shared" ref="F26:K26" si="4">SUM(F24:F25)</f>
        <v>11110388</v>
      </c>
      <c r="G26" s="224">
        <f t="shared" si="4"/>
        <v>1444350</v>
      </c>
      <c r="H26" s="224">
        <f t="shared" si="4"/>
        <v>7641222</v>
      </c>
      <c r="I26" s="224">
        <f t="shared" si="4"/>
        <v>0</v>
      </c>
      <c r="J26" s="224">
        <f t="shared" si="4"/>
        <v>0</v>
      </c>
      <c r="K26" s="225">
        <f t="shared" si="4"/>
        <v>20195960</v>
      </c>
    </row>
    <row r="27" spans="1:11" ht="15" customHeight="1" x14ac:dyDescent="0.25">
      <c r="A27" s="454" t="s">
        <v>28</v>
      </c>
      <c r="B27" s="457" t="s">
        <v>231</v>
      </c>
      <c r="C27" s="457" t="s">
        <v>232</v>
      </c>
      <c r="D27" s="460">
        <v>0.95</v>
      </c>
      <c r="E27" s="221" t="s">
        <v>123</v>
      </c>
      <c r="F27" s="70">
        <v>400000</v>
      </c>
      <c r="G27" s="70">
        <v>52000</v>
      </c>
      <c r="H27" s="70">
        <v>6118577</v>
      </c>
      <c r="I27" s="70">
        <v>0</v>
      </c>
      <c r="J27" s="77">
        <v>0</v>
      </c>
      <c r="K27" s="71">
        <f>F27+G27+H27+I27+J27</f>
        <v>6570577</v>
      </c>
    </row>
    <row r="28" spans="1:11" ht="15" customHeight="1" x14ac:dyDescent="0.25">
      <c r="A28" s="455"/>
      <c r="B28" s="458"/>
      <c r="C28" s="458"/>
      <c r="D28" s="461"/>
      <c r="E28" s="222" t="s">
        <v>124</v>
      </c>
      <c r="F28" s="78">
        <v>8486001</v>
      </c>
      <c r="G28" s="78">
        <v>1103180</v>
      </c>
      <c r="H28" s="78">
        <v>918577</v>
      </c>
      <c r="I28" s="78">
        <v>0</v>
      </c>
      <c r="J28" s="76">
        <v>0</v>
      </c>
      <c r="K28" s="74">
        <f>F28+G28+H28+I28+J28</f>
        <v>10507758</v>
      </c>
    </row>
    <row r="29" spans="1:11" ht="15" customHeight="1" thickBot="1" x14ac:dyDescent="0.3">
      <c r="A29" s="456"/>
      <c r="B29" s="459"/>
      <c r="C29" s="459"/>
      <c r="D29" s="462"/>
      <c r="E29" s="223" t="s">
        <v>116</v>
      </c>
      <c r="F29" s="224">
        <f t="shared" ref="F29:K29" si="5">SUM(F27:F28)</f>
        <v>8886001</v>
      </c>
      <c r="G29" s="224">
        <f t="shared" si="5"/>
        <v>1155180</v>
      </c>
      <c r="H29" s="224">
        <f t="shared" si="5"/>
        <v>7037154</v>
      </c>
      <c r="I29" s="224">
        <f t="shared" si="5"/>
        <v>0</v>
      </c>
      <c r="J29" s="224">
        <f t="shared" si="5"/>
        <v>0</v>
      </c>
      <c r="K29" s="225">
        <f t="shared" si="5"/>
        <v>17078335</v>
      </c>
    </row>
    <row r="30" spans="1:11" s="229" customFormat="1" ht="15" customHeight="1" x14ac:dyDescent="0.25">
      <c r="A30" s="454" t="s">
        <v>90</v>
      </c>
      <c r="B30" s="463" t="s">
        <v>233</v>
      </c>
      <c r="C30" s="458" t="s">
        <v>234</v>
      </c>
      <c r="D30" s="461">
        <v>0.95</v>
      </c>
      <c r="E30" s="230" t="s">
        <v>123</v>
      </c>
      <c r="F30" s="240">
        <v>400000</v>
      </c>
      <c r="G30" s="240">
        <v>52000</v>
      </c>
      <c r="H30" s="240">
        <v>7517473</v>
      </c>
      <c r="I30" s="240">
        <v>0</v>
      </c>
      <c r="J30" s="241">
        <v>1700000</v>
      </c>
      <c r="K30" s="231">
        <f>F30+G30+H30+I30+J30</f>
        <v>9669473</v>
      </c>
    </row>
    <row r="31" spans="1:11" ht="15" customHeight="1" x14ac:dyDescent="0.25">
      <c r="A31" s="455"/>
      <c r="B31" s="463"/>
      <c r="C31" s="458"/>
      <c r="D31" s="461"/>
      <c r="E31" s="222" t="s">
        <v>124</v>
      </c>
      <c r="F31" s="78">
        <v>11517832</v>
      </c>
      <c r="G31" s="78">
        <v>1497318</v>
      </c>
      <c r="H31" s="78">
        <v>553052</v>
      </c>
      <c r="I31" s="78">
        <v>0</v>
      </c>
      <c r="J31" s="76">
        <v>0</v>
      </c>
      <c r="K31" s="74">
        <f>F31+G31+H31+I31+J31</f>
        <v>13568202</v>
      </c>
    </row>
    <row r="32" spans="1:11" ht="15" customHeight="1" thickBot="1" x14ac:dyDescent="0.3">
      <c r="A32" s="456"/>
      <c r="B32" s="464"/>
      <c r="C32" s="459"/>
      <c r="D32" s="462"/>
      <c r="E32" s="223" t="s">
        <v>116</v>
      </c>
      <c r="F32" s="224">
        <f t="shared" ref="F32:K32" si="6">SUM(F30:F31)</f>
        <v>11917832</v>
      </c>
      <c r="G32" s="224">
        <f t="shared" si="6"/>
        <v>1549318</v>
      </c>
      <c r="H32" s="224">
        <f t="shared" si="6"/>
        <v>8070525</v>
      </c>
      <c r="I32" s="224">
        <f t="shared" si="6"/>
        <v>0</v>
      </c>
      <c r="J32" s="224">
        <f t="shared" si="6"/>
        <v>1700000</v>
      </c>
      <c r="K32" s="225">
        <f t="shared" si="6"/>
        <v>23237675</v>
      </c>
    </row>
    <row r="33" spans="1:11" s="229" customFormat="1" ht="15" customHeight="1" x14ac:dyDescent="0.25">
      <c r="A33" s="454" t="s">
        <v>180</v>
      </c>
      <c r="B33" s="463" t="s">
        <v>188</v>
      </c>
      <c r="C33" s="458">
        <v>101035163</v>
      </c>
      <c r="D33" s="461">
        <v>0.65</v>
      </c>
      <c r="E33" s="230" t="s">
        <v>123</v>
      </c>
      <c r="F33" s="240">
        <v>3000000</v>
      </c>
      <c r="G33" s="240">
        <v>800000</v>
      </c>
      <c r="H33" s="240">
        <v>5037213</v>
      </c>
      <c r="I33" s="240">
        <v>0</v>
      </c>
      <c r="J33" s="241">
        <v>1000000</v>
      </c>
      <c r="K33" s="231">
        <f>F33+G33+H33+I33+J33</f>
        <v>9837213</v>
      </c>
    </row>
    <row r="34" spans="1:11" ht="15" customHeight="1" x14ac:dyDescent="0.25">
      <c r="A34" s="455"/>
      <c r="B34" s="463"/>
      <c r="C34" s="458"/>
      <c r="D34" s="461"/>
      <c r="E34" s="222" t="s">
        <v>124</v>
      </c>
      <c r="F34" s="242">
        <v>6993486</v>
      </c>
      <c r="G34" s="242">
        <v>947653</v>
      </c>
      <c r="H34" s="242">
        <v>150000</v>
      </c>
      <c r="I34" s="242">
        <v>0</v>
      </c>
      <c r="J34" s="239">
        <v>0</v>
      </c>
      <c r="K34" s="231">
        <f>F34+G34+H34+I34+J34</f>
        <v>8091139</v>
      </c>
    </row>
    <row r="35" spans="1:11" ht="15" customHeight="1" thickBot="1" x14ac:dyDescent="0.3">
      <c r="A35" s="456"/>
      <c r="B35" s="464"/>
      <c r="C35" s="459"/>
      <c r="D35" s="462"/>
      <c r="E35" s="223" t="s">
        <v>116</v>
      </c>
      <c r="F35" s="224">
        <f t="shared" ref="F35:K35" si="7">SUM(F33:F34)</f>
        <v>9993486</v>
      </c>
      <c r="G35" s="224">
        <f t="shared" si="7"/>
        <v>1747653</v>
      </c>
      <c r="H35" s="224">
        <f t="shared" si="7"/>
        <v>5187213</v>
      </c>
      <c r="I35" s="224">
        <f t="shared" si="7"/>
        <v>0</v>
      </c>
      <c r="J35" s="224">
        <f t="shared" si="7"/>
        <v>1000000</v>
      </c>
      <c r="K35" s="225">
        <f t="shared" si="7"/>
        <v>17928352</v>
      </c>
    </row>
    <row r="36" spans="1:11" s="229" customFormat="1" ht="15" customHeight="1" x14ac:dyDescent="0.25">
      <c r="A36" s="454" t="s">
        <v>181</v>
      </c>
      <c r="B36" s="467" t="s">
        <v>205</v>
      </c>
      <c r="C36" s="457">
        <v>101074095</v>
      </c>
      <c r="D36" s="460">
        <v>0.9</v>
      </c>
      <c r="E36" s="226" t="s">
        <v>123</v>
      </c>
      <c r="F36" s="227">
        <v>1500000</v>
      </c>
      <c r="G36" s="227">
        <v>500000</v>
      </c>
      <c r="H36" s="227">
        <v>4067060</v>
      </c>
      <c r="I36" s="227"/>
      <c r="J36" s="237">
        <v>0</v>
      </c>
      <c r="K36" s="228">
        <f>F36+G36+H36+I36+J36</f>
        <v>6067060</v>
      </c>
    </row>
    <row r="37" spans="1:11" ht="15" customHeight="1" x14ac:dyDescent="0.25">
      <c r="A37" s="455"/>
      <c r="B37" s="463"/>
      <c r="C37" s="458"/>
      <c r="D37" s="461"/>
      <c r="E37" s="222" t="s">
        <v>124</v>
      </c>
      <c r="F37" s="242">
        <v>3185326</v>
      </c>
      <c r="G37" s="242">
        <v>437697</v>
      </c>
      <c r="H37" s="242">
        <v>400000</v>
      </c>
      <c r="I37" s="242">
        <v>0</v>
      </c>
      <c r="J37" s="239">
        <v>0</v>
      </c>
      <c r="K37" s="231">
        <f>F37+G37+H37+I37+J37</f>
        <v>4023023</v>
      </c>
    </row>
    <row r="38" spans="1:11" ht="15" customHeight="1" thickBot="1" x14ac:dyDescent="0.3">
      <c r="A38" s="455"/>
      <c r="B38" s="463"/>
      <c r="C38" s="458"/>
      <c r="D38" s="461"/>
      <c r="E38" s="265" t="s">
        <v>116</v>
      </c>
      <c r="F38" s="243">
        <f t="shared" ref="F38:K38" si="8">SUM(F36:F37)</f>
        <v>4685326</v>
      </c>
      <c r="G38" s="243">
        <f t="shared" si="8"/>
        <v>937697</v>
      </c>
      <c r="H38" s="243">
        <f t="shared" si="8"/>
        <v>4467060</v>
      </c>
      <c r="I38" s="243">
        <f t="shared" si="8"/>
        <v>0</v>
      </c>
      <c r="J38" s="243">
        <f t="shared" si="8"/>
        <v>0</v>
      </c>
      <c r="K38" s="244">
        <f t="shared" si="8"/>
        <v>10090083</v>
      </c>
    </row>
    <row r="39" spans="1:11" ht="15" customHeight="1" x14ac:dyDescent="0.25">
      <c r="A39" s="454" t="s">
        <v>173</v>
      </c>
      <c r="B39" s="467" t="s">
        <v>131</v>
      </c>
      <c r="C39" s="474" t="s">
        <v>140</v>
      </c>
      <c r="D39" s="460">
        <v>1</v>
      </c>
      <c r="E39" s="221" t="s">
        <v>123</v>
      </c>
      <c r="F39" s="70">
        <v>0</v>
      </c>
      <c r="G39" s="70">
        <v>0</v>
      </c>
      <c r="H39" s="70">
        <v>0</v>
      </c>
      <c r="I39" s="70">
        <v>0</v>
      </c>
      <c r="J39" s="77">
        <v>0</v>
      </c>
      <c r="K39" s="71">
        <f>F39+G39+H39+I39+J39</f>
        <v>0</v>
      </c>
    </row>
    <row r="40" spans="1:11" ht="15" customHeight="1" x14ac:dyDescent="0.25">
      <c r="A40" s="455"/>
      <c r="B40" s="463"/>
      <c r="C40" s="465"/>
      <c r="D40" s="461"/>
      <c r="E40" s="222" t="s">
        <v>124</v>
      </c>
      <c r="F40" s="72">
        <v>16043872</v>
      </c>
      <c r="G40" s="72">
        <v>2259151</v>
      </c>
      <c r="H40" s="72">
        <v>4200000</v>
      </c>
      <c r="I40" s="72">
        <v>0</v>
      </c>
      <c r="J40" s="76">
        <v>0</v>
      </c>
      <c r="K40" s="74">
        <f>F40+G40+H40+I40+J40</f>
        <v>22503023</v>
      </c>
    </row>
    <row r="41" spans="1:11" ht="15" customHeight="1" thickBot="1" x14ac:dyDescent="0.3">
      <c r="A41" s="456"/>
      <c r="B41" s="464"/>
      <c r="C41" s="466"/>
      <c r="D41" s="462"/>
      <c r="E41" s="223" t="s">
        <v>116</v>
      </c>
      <c r="F41" s="224">
        <f t="shared" ref="F41:K41" si="9">SUM(F39:F40)</f>
        <v>16043872</v>
      </c>
      <c r="G41" s="224">
        <f t="shared" si="9"/>
        <v>2259151</v>
      </c>
      <c r="H41" s="224">
        <f t="shared" si="9"/>
        <v>4200000</v>
      </c>
      <c r="I41" s="224">
        <f t="shared" si="9"/>
        <v>0</v>
      </c>
      <c r="J41" s="224">
        <f t="shared" si="9"/>
        <v>0</v>
      </c>
      <c r="K41" s="225">
        <f t="shared" si="9"/>
        <v>22503023</v>
      </c>
    </row>
    <row r="42" spans="1:11" ht="15" customHeight="1" x14ac:dyDescent="0.25">
      <c r="A42" s="454" t="s">
        <v>134</v>
      </c>
      <c r="B42" s="467" t="s">
        <v>139</v>
      </c>
      <c r="C42" s="468" t="s">
        <v>141</v>
      </c>
      <c r="D42" s="460">
        <v>1</v>
      </c>
      <c r="E42" s="232" t="s">
        <v>123</v>
      </c>
      <c r="F42" s="70">
        <v>350000</v>
      </c>
      <c r="G42" s="70">
        <v>45500</v>
      </c>
      <c r="H42" s="70">
        <f>20945543-2190750</f>
        <v>18754793</v>
      </c>
      <c r="I42" s="70">
        <v>0</v>
      </c>
      <c r="J42" s="77">
        <f>15995670+2190750</f>
        <v>18186420</v>
      </c>
      <c r="K42" s="71">
        <f>F42+G42+H42+I42+J42</f>
        <v>37336713</v>
      </c>
    </row>
    <row r="43" spans="1:11" ht="15" customHeight="1" x14ac:dyDescent="0.25">
      <c r="A43" s="455"/>
      <c r="B43" s="463"/>
      <c r="C43" s="469"/>
      <c r="D43" s="461"/>
      <c r="E43" s="222" t="s">
        <v>124</v>
      </c>
      <c r="F43" s="72">
        <v>3526667</v>
      </c>
      <c r="G43" s="72">
        <v>458467</v>
      </c>
      <c r="H43" s="72">
        <v>0</v>
      </c>
      <c r="I43" s="72">
        <v>0</v>
      </c>
      <c r="J43" s="76">
        <v>0</v>
      </c>
      <c r="K43" s="74">
        <f>F43+G43+H43+I43+J43</f>
        <v>3985134</v>
      </c>
    </row>
    <row r="44" spans="1:11" ht="15" customHeight="1" thickBot="1" x14ac:dyDescent="0.3">
      <c r="A44" s="456"/>
      <c r="B44" s="464"/>
      <c r="C44" s="470"/>
      <c r="D44" s="462"/>
      <c r="E44" s="223" t="s">
        <v>116</v>
      </c>
      <c r="F44" s="224">
        <f t="shared" ref="F44:K44" si="10">SUM(F42:F43)</f>
        <v>3876667</v>
      </c>
      <c r="G44" s="224">
        <f t="shared" si="10"/>
        <v>503967</v>
      </c>
      <c r="H44" s="224">
        <f t="shared" si="10"/>
        <v>18754793</v>
      </c>
      <c r="I44" s="224">
        <f t="shared" si="10"/>
        <v>0</v>
      </c>
      <c r="J44" s="224">
        <f t="shared" si="10"/>
        <v>18186420</v>
      </c>
      <c r="K44" s="225">
        <f t="shared" si="10"/>
        <v>41321847</v>
      </c>
    </row>
    <row r="45" spans="1:11" ht="15" customHeight="1" x14ac:dyDescent="0.25">
      <c r="A45" s="454" t="s">
        <v>135</v>
      </c>
      <c r="B45" s="471" t="s">
        <v>150</v>
      </c>
      <c r="C45" s="474" t="s">
        <v>149</v>
      </c>
      <c r="D45" s="460">
        <v>1</v>
      </c>
      <c r="E45" s="221" t="s">
        <v>123</v>
      </c>
      <c r="F45" s="70">
        <f>35688697+30000000</f>
        <v>65688697</v>
      </c>
      <c r="G45" s="70">
        <v>2500000</v>
      </c>
      <c r="H45" s="70">
        <f>451257707-30000000</f>
        <v>421257707</v>
      </c>
      <c r="I45" s="70">
        <v>0</v>
      </c>
      <c r="J45" s="77">
        <v>52042084</v>
      </c>
      <c r="K45" s="71">
        <f>F45+G45+H45+I45+J45</f>
        <v>541488488</v>
      </c>
    </row>
    <row r="46" spans="1:11" ht="15" customHeight="1" x14ac:dyDescent="0.25">
      <c r="A46" s="455"/>
      <c r="B46" s="472"/>
      <c r="C46" s="465"/>
      <c r="D46" s="461"/>
      <c r="E46" s="222" t="s">
        <v>124</v>
      </c>
      <c r="F46" s="72">
        <v>68216014</v>
      </c>
      <c r="G46" s="72">
        <v>9161331</v>
      </c>
      <c r="H46" s="72">
        <v>1500000</v>
      </c>
      <c r="I46" s="72">
        <v>0</v>
      </c>
      <c r="J46" s="76">
        <v>0</v>
      </c>
      <c r="K46" s="74">
        <f>F46+G46+H46+I46+J46</f>
        <v>78877345</v>
      </c>
    </row>
    <row r="47" spans="1:11" ht="15" customHeight="1" thickBot="1" x14ac:dyDescent="0.3">
      <c r="A47" s="456"/>
      <c r="B47" s="473"/>
      <c r="C47" s="466"/>
      <c r="D47" s="462"/>
      <c r="E47" s="223" t="s">
        <v>116</v>
      </c>
      <c r="F47" s="224">
        <f t="shared" ref="F47:K47" si="11">SUM(F45:F46)</f>
        <v>133904711</v>
      </c>
      <c r="G47" s="224">
        <f t="shared" si="11"/>
        <v>11661331</v>
      </c>
      <c r="H47" s="224">
        <f t="shared" si="11"/>
        <v>422757707</v>
      </c>
      <c r="I47" s="224">
        <f t="shared" si="11"/>
        <v>0</v>
      </c>
      <c r="J47" s="224">
        <f t="shared" si="11"/>
        <v>52042084</v>
      </c>
      <c r="K47" s="225">
        <f t="shared" si="11"/>
        <v>620365833</v>
      </c>
    </row>
    <row r="48" spans="1:11" ht="15" customHeight="1" x14ac:dyDescent="0.25">
      <c r="A48" s="454" t="s">
        <v>136</v>
      </c>
      <c r="B48" s="471" t="s">
        <v>190</v>
      </c>
      <c r="C48" s="474" t="s">
        <v>189</v>
      </c>
      <c r="D48" s="460">
        <v>1</v>
      </c>
      <c r="E48" s="221" t="s">
        <v>123</v>
      </c>
      <c r="F48" s="70">
        <v>200000</v>
      </c>
      <c r="G48" s="70">
        <v>0</v>
      </c>
      <c r="H48" s="227">
        <f>12375523-423750</f>
        <v>11951773</v>
      </c>
      <c r="I48" s="70">
        <v>0</v>
      </c>
      <c r="J48" s="77">
        <f>63142150+423750</f>
        <v>63565900</v>
      </c>
      <c r="K48" s="71">
        <f>F48+G48+H48+I48+J48</f>
        <v>75717673</v>
      </c>
    </row>
    <row r="49" spans="1:11" ht="15" customHeight="1" x14ac:dyDescent="0.25">
      <c r="A49" s="455"/>
      <c r="B49" s="472"/>
      <c r="C49" s="465"/>
      <c r="D49" s="461"/>
      <c r="E49" s="222" t="s">
        <v>124</v>
      </c>
      <c r="F49" s="72">
        <v>4150000</v>
      </c>
      <c r="G49" s="72">
        <v>539500</v>
      </c>
      <c r="H49" s="72">
        <v>3000000</v>
      </c>
      <c r="I49" s="72">
        <v>0</v>
      </c>
      <c r="J49" s="76">
        <v>0</v>
      </c>
      <c r="K49" s="74">
        <f>F49+G49+H49+I49+J49</f>
        <v>7689500</v>
      </c>
    </row>
    <row r="50" spans="1:11" ht="15" customHeight="1" thickBot="1" x14ac:dyDescent="0.3">
      <c r="A50" s="456"/>
      <c r="B50" s="473"/>
      <c r="C50" s="466"/>
      <c r="D50" s="462"/>
      <c r="E50" s="223" t="s">
        <v>116</v>
      </c>
      <c r="F50" s="224">
        <f t="shared" ref="F50:K50" si="12">SUM(F48:F49)</f>
        <v>4350000</v>
      </c>
      <c r="G50" s="224">
        <f t="shared" si="12"/>
        <v>539500</v>
      </c>
      <c r="H50" s="224">
        <f t="shared" si="12"/>
        <v>14951773</v>
      </c>
      <c r="I50" s="224">
        <f t="shared" si="12"/>
        <v>0</v>
      </c>
      <c r="J50" s="224">
        <f t="shared" si="12"/>
        <v>63565900</v>
      </c>
      <c r="K50" s="225">
        <f t="shared" si="12"/>
        <v>83407173</v>
      </c>
    </row>
    <row r="51" spans="1:11" ht="15" customHeight="1" x14ac:dyDescent="0.25">
      <c r="A51" s="454" t="s">
        <v>137</v>
      </c>
      <c r="B51" s="467" t="s">
        <v>206</v>
      </c>
      <c r="C51" s="475" t="s">
        <v>207</v>
      </c>
      <c r="D51" s="460">
        <v>1</v>
      </c>
      <c r="E51" s="221" t="s">
        <v>123</v>
      </c>
      <c r="F51" s="70">
        <v>6803150</v>
      </c>
      <c r="G51" s="70">
        <v>260000</v>
      </c>
      <c r="H51" s="70">
        <f>57354199</f>
        <v>57354199</v>
      </c>
      <c r="I51" s="70">
        <v>30000000</v>
      </c>
      <c r="J51" s="77">
        <v>27483222</v>
      </c>
      <c r="K51" s="71">
        <f>F51+G51+H51+I51+J51</f>
        <v>121900571</v>
      </c>
    </row>
    <row r="52" spans="1:11" ht="15" customHeight="1" x14ac:dyDescent="0.25">
      <c r="A52" s="455"/>
      <c r="B52" s="463"/>
      <c r="C52" s="476"/>
      <c r="D52" s="461"/>
      <c r="E52" s="222" t="s">
        <v>124</v>
      </c>
      <c r="F52" s="72">
        <v>9097333</v>
      </c>
      <c r="G52" s="72">
        <v>1202653</v>
      </c>
      <c r="H52" s="72">
        <v>600000</v>
      </c>
      <c r="I52" s="72">
        <v>0</v>
      </c>
      <c r="J52" s="76">
        <v>0</v>
      </c>
      <c r="K52" s="74">
        <f>F52+G52+H52+I52+J52</f>
        <v>10899986</v>
      </c>
    </row>
    <row r="53" spans="1:11" ht="15" customHeight="1" thickBot="1" x14ac:dyDescent="0.3">
      <c r="A53" s="456"/>
      <c r="B53" s="464"/>
      <c r="C53" s="477"/>
      <c r="D53" s="462"/>
      <c r="E53" s="223" t="s">
        <v>116</v>
      </c>
      <c r="F53" s="224">
        <f t="shared" ref="F53:K53" si="13">SUM(F51:F52)</f>
        <v>15900483</v>
      </c>
      <c r="G53" s="224">
        <f t="shared" si="13"/>
        <v>1462653</v>
      </c>
      <c r="H53" s="224">
        <f t="shared" si="13"/>
        <v>57954199</v>
      </c>
      <c r="I53" s="224">
        <f t="shared" si="13"/>
        <v>30000000</v>
      </c>
      <c r="J53" s="224">
        <f t="shared" si="13"/>
        <v>27483222</v>
      </c>
      <c r="K53" s="225">
        <f t="shared" si="13"/>
        <v>132800557</v>
      </c>
    </row>
    <row r="54" spans="1:11" ht="15" customHeight="1" x14ac:dyDescent="0.25">
      <c r="A54" s="454" t="s">
        <v>138</v>
      </c>
      <c r="B54" s="467" t="s">
        <v>208</v>
      </c>
      <c r="C54" s="475" t="s">
        <v>209</v>
      </c>
      <c r="D54" s="460">
        <v>1</v>
      </c>
      <c r="E54" s="221" t="s">
        <v>123</v>
      </c>
      <c r="F54" s="70">
        <f>1000000+6000000</f>
        <v>7000000</v>
      </c>
      <c r="G54" s="70">
        <v>250000</v>
      </c>
      <c r="H54" s="70">
        <f>36073888-6000000</f>
        <v>30073888</v>
      </c>
      <c r="I54" s="70">
        <v>0</v>
      </c>
      <c r="J54" s="77">
        <v>26230600</v>
      </c>
      <c r="K54" s="71">
        <f>F54+G54+H54+I54+J54</f>
        <v>63554488</v>
      </c>
    </row>
    <row r="55" spans="1:11" ht="15" customHeight="1" x14ac:dyDescent="0.25">
      <c r="A55" s="455"/>
      <c r="B55" s="463"/>
      <c r="C55" s="476"/>
      <c r="D55" s="461"/>
      <c r="E55" s="222" t="s">
        <v>124</v>
      </c>
      <c r="F55" s="72">
        <v>9598588</v>
      </c>
      <c r="G55" s="72">
        <v>1343817</v>
      </c>
      <c r="H55" s="72">
        <v>500000</v>
      </c>
      <c r="I55" s="72">
        <v>0</v>
      </c>
      <c r="J55" s="76">
        <v>0</v>
      </c>
      <c r="K55" s="74">
        <f>F55+G55+H55+I55+J55</f>
        <v>11442405</v>
      </c>
    </row>
    <row r="56" spans="1:11" ht="15" customHeight="1" thickBot="1" x14ac:dyDescent="0.3">
      <c r="A56" s="456"/>
      <c r="B56" s="464"/>
      <c r="C56" s="477"/>
      <c r="D56" s="462"/>
      <c r="E56" s="223" t="s">
        <v>116</v>
      </c>
      <c r="F56" s="224">
        <f t="shared" ref="F56:K56" si="14">SUM(F54:F55)</f>
        <v>16598588</v>
      </c>
      <c r="G56" s="224">
        <f t="shared" si="14"/>
        <v>1593817</v>
      </c>
      <c r="H56" s="224">
        <f t="shared" si="14"/>
        <v>30573888</v>
      </c>
      <c r="I56" s="224">
        <f t="shared" si="14"/>
        <v>0</v>
      </c>
      <c r="J56" s="224">
        <f t="shared" si="14"/>
        <v>26230600</v>
      </c>
      <c r="K56" s="225">
        <f t="shared" si="14"/>
        <v>74996893</v>
      </c>
    </row>
    <row r="57" spans="1:11" ht="15" customHeight="1" x14ac:dyDescent="0.25">
      <c r="A57" s="455" t="s">
        <v>146</v>
      </c>
      <c r="B57" s="472" t="s">
        <v>165</v>
      </c>
      <c r="C57" s="469" t="s">
        <v>164</v>
      </c>
      <c r="D57" s="461">
        <v>1</v>
      </c>
      <c r="E57" s="232" t="s">
        <v>123</v>
      </c>
      <c r="F57" s="75">
        <v>0</v>
      </c>
      <c r="G57" s="75">
        <v>0</v>
      </c>
      <c r="H57" s="75">
        <v>0</v>
      </c>
      <c r="I57" s="75">
        <v>116794</v>
      </c>
      <c r="J57" s="79">
        <v>0</v>
      </c>
      <c r="K57" s="74">
        <f>F57+G57+H57+I57+J57</f>
        <v>116794</v>
      </c>
    </row>
    <row r="58" spans="1:11" ht="15" customHeight="1" x14ac:dyDescent="0.25">
      <c r="A58" s="455"/>
      <c r="B58" s="472"/>
      <c r="C58" s="469"/>
      <c r="D58" s="461"/>
      <c r="E58" s="222" t="s">
        <v>124</v>
      </c>
      <c r="F58" s="72">
        <v>88355</v>
      </c>
      <c r="G58" s="72">
        <v>11486</v>
      </c>
      <c r="H58" s="72">
        <v>0</v>
      </c>
      <c r="I58" s="72">
        <v>0</v>
      </c>
      <c r="J58" s="76">
        <v>0</v>
      </c>
      <c r="K58" s="74">
        <f>F58+G58+H58+I58+J58</f>
        <v>99841</v>
      </c>
    </row>
    <row r="59" spans="1:11" ht="15" customHeight="1" thickBot="1" x14ac:dyDescent="0.3">
      <c r="A59" s="456"/>
      <c r="B59" s="473"/>
      <c r="C59" s="470"/>
      <c r="D59" s="462"/>
      <c r="E59" s="223" t="s">
        <v>116</v>
      </c>
      <c r="F59" s="224">
        <f t="shared" ref="F59:K59" si="15">SUM(F57:F58)</f>
        <v>88355</v>
      </c>
      <c r="G59" s="224">
        <f t="shared" si="15"/>
        <v>11486</v>
      </c>
      <c r="H59" s="224">
        <f t="shared" si="15"/>
        <v>0</v>
      </c>
      <c r="I59" s="224">
        <f t="shared" si="15"/>
        <v>116794</v>
      </c>
      <c r="J59" s="224">
        <f t="shared" si="15"/>
        <v>0</v>
      </c>
      <c r="K59" s="225">
        <f t="shared" si="15"/>
        <v>216635</v>
      </c>
    </row>
    <row r="60" spans="1:11" ht="15" customHeight="1" x14ac:dyDescent="0.25">
      <c r="A60" s="454" t="s">
        <v>147</v>
      </c>
      <c r="B60" s="467" t="s">
        <v>166</v>
      </c>
      <c r="C60" s="468" t="s">
        <v>167</v>
      </c>
      <c r="D60" s="460">
        <v>1</v>
      </c>
      <c r="E60" s="221" t="s">
        <v>123</v>
      </c>
      <c r="F60" s="70">
        <v>0</v>
      </c>
      <c r="G60" s="70">
        <v>0</v>
      </c>
      <c r="H60" s="70">
        <v>0</v>
      </c>
      <c r="I60" s="70">
        <v>0</v>
      </c>
      <c r="J60" s="77">
        <v>0</v>
      </c>
      <c r="K60" s="71">
        <f>F60+G60+H60+I60+J60</f>
        <v>0</v>
      </c>
    </row>
    <row r="61" spans="1:11" ht="15" customHeight="1" x14ac:dyDescent="0.25">
      <c r="A61" s="455"/>
      <c r="B61" s="463"/>
      <c r="C61" s="469"/>
      <c r="D61" s="461"/>
      <c r="E61" s="222" t="s">
        <v>124</v>
      </c>
      <c r="F61" s="72">
        <v>217799</v>
      </c>
      <c r="G61" s="72">
        <v>28313</v>
      </c>
      <c r="H61" s="72">
        <v>0</v>
      </c>
      <c r="I61" s="72">
        <v>0</v>
      </c>
      <c r="J61" s="76">
        <v>0</v>
      </c>
      <c r="K61" s="74">
        <f>F61+G61+H61+I61+J61</f>
        <v>246112</v>
      </c>
    </row>
    <row r="62" spans="1:11" ht="15" customHeight="1" thickBot="1" x14ac:dyDescent="0.3">
      <c r="A62" s="456"/>
      <c r="B62" s="464"/>
      <c r="C62" s="470"/>
      <c r="D62" s="462"/>
      <c r="E62" s="223" t="s">
        <v>116</v>
      </c>
      <c r="F62" s="224">
        <f t="shared" ref="F62:K62" si="16">SUM(F60:F61)</f>
        <v>217799</v>
      </c>
      <c r="G62" s="224">
        <f t="shared" si="16"/>
        <v>28313</v>
      </c>
      <c r="H62" s="224">
        <f t="shared" si="16"/>
        <v>0</v>
      </c>
      <c r="I62" s="224">
        <f t="shared" si="16"/>
        <v>0</v>
      </c>
      <c r="J62" s="224">
        <f t="shared" si="16"/>
        <v>0</v>
      </c>
      <c r="K62" s="225">
        <f t="shared" si="16"/>
        <v>246112</v>
      </c>
    </row>
    <row r="63" spans="1:11" ht="15" customHeight="1" x14ac:dyDescent="0.25">
      <c r="A63" s="454" t="s">
        <v>148</v>
      </c>
      <c r="B63" s="467" t="s">
        <v>162</v>
      </c>
      <c r="C63" s="468" t="s">
        <v>163</v>
      </c>
      <c r="D63" s="460">
        <v>1</v>
      </c>
      <c r="E63" s="221" t="s">
        <v>123</v>
      </c>
      <c r="F63" s="70">
        <v>0</v>
      </c>
      <c r="G63" s="70">
        <v>0</v>
      </c>
      <c r="H63" s="70">
        <v>0</v>
      </c>
      <c r="I63" s="70">
        <v>0</v>
      </c>
      <c r="J63" s="77">
        <v>0</v>
      </c>
      <c r="K63" s="71">
        <f>F63+G63+H63+I63+J63</f>
        <v>0</v>
      </c>
    </row>
    <row r="64" spans="1:11" ht="15" customHeight="1" x14ac:dyDescent="0.25">
      <c r="A64" s="455"/>
      <c r="B64" s="463"/>
      <c r="C64" s="469"/>
      <c r="D64" s="461"/>
      <c r="E64" s="222" t="s">
        <v>124</v>
      </c>
      <c r="F64" s="72">
        <v>89707</v>
      </c>
      <c r="G64" s="72">
        <v>11662</v>
      </c>
      <c r="H64" s="72">
        <v>0</v>
      </c>
      <c r="I64" s="72">
        <v>0</v>
      </c>
      <c r="J64" s="76">
        <v>0</v>
      </c>
      <c r="K64" s="74">
        <f>F64+G64+H64+I64+J64</f>
        <v>101369</v>
      </c>
    </row>
    <row r="65" spans="1:11" ht="15" customHeight="1" thickBot="1" x14ac:dyDescent="0.3">
      <c r="A65" s="456"/>
      <c r="B65" s="464"/>
      <c r="C65" s="470"/>
      <c r="D65" s="462"/>
      <c r="E65" s="223" t="s">
        <v>116</v>
      </c>
      <c r="F65" s="224">
        <f t="shared" ref="F65:K65" si="17">SUM(F63:F64)</f>
        <v>89707</v>
      </c>
      <c r="G65" s="224">
        <f t="shared" si="17"/>
        <v>11662</v>
      </c>
      <c r="H65" s="224">
        <f t="shared" si="17"/>
        <v>0</v>
      </c>
      <c r="I65" s="224">
        <f t="shared" si="17"/>
        <v>0</v>
      </c>
      <c r="J65" s="224">
        <f t="shared" si="17"/>
        <v>0</v>
      </c>
      <c r="K65" s="225">
        <f t="shared" si="17"/>
        <v>101369</v>
      </c>
    </row>
    <row r="66" spans="1:11" ht="15" customHeight="1" x14ac:dyDescent="0.25">
      <c r="A66" s="454" t="s">
        <v>168</v>
      </c>
      <c r="B66" s="463" t="s">
        <v>158</v>
      </c>
      <c r="C66" s="469" t="s">
        <v>159</v>
      </c>
      <c r="D66" s="461">
        <v>1</v>
      </c>
      <c r="E66" s="221" t="s">
        <v>123</v>
      </c>
      <c r="F66" s="70">
        <v>0</v>
      </c>
      <c r="G66" s="70">
        <v>0</v>
      </c>
      <c r="H66" s="70">
        <v>0</v>
      </c>
      <c r="I66" s="70">
        <f>847500+97348</f>
        <v>944848</v>
      </c>
      <c r="J66" s="77">
        <v>0</v>
      </c>
      <c r="K66" s="74">
        <f>F66+G66+H66+I66+J66</f>
        <v>944848</v>
      </c>
    </row>
    <row r="67" spans="1:11" ht="15" customHeight="1" x14ac:dyDescent="0.25">
      <c r="A67" s="455"/>
      <c r="B67" s="463"/>
      <c r="C67" s="469"/>
      <c r="D67" s="461"/>
      <c r="E67" s="222" t="s">
        <v>124</v>
      </c>
      <c r="F67" s="72">
        <v>107198</v>
      </c>
      <c r="G67" s="72">
        <v>13935</v>
      </c>
      <c r="H67" s="72">
        <v>0</v>
      </c>
      <c r="I67" s="72">
        <v>0</v>
      </c>
      <c r="J67" s="76">
        <v>0</v>
      </c>
      <c r="K67" s="74">
        <f>F67+G67+H67+I67+J67</f>
        <v>121133</v>
      </c>
    </row>
    <row r="68" spans="1:11" ht="15" customHeight="1" thickBot="1" x14ac:dyDescent="0.3">
      <c r="A68" s="455"/>
      <c r="B68" s="463"/>
      <c r="C68" s="469"/>
      <c r="D68" s="461"/>
      <c r="E68" s="265" t="s">
        <v>116</v>
      </c>
      <c r="F68" s="243">
        <f t="shared" ref="F68:K68" si="18">SUM(F66:F67)</f>
        <v>107198</v>
      </c>
      <c r="G68" s="243">
        <f t="shared" si="18"/>
        <v>13935</v>
      </c>
      <c r="H68" s="243">
        <f t="shared" si="18"/>
        <v>0</v>
      </c>
      <c r="I68" s="243">
        <f t="shared" si="18"/>
        <v>944848</v>
      </c>
      <c r="J68" s="243">
        <f t="shared" si="18"/>
        <v>0</v>
      </c>
      <c r="K68" s="244">
        <f t="shared" si="18"/>
        <v>1065981</v>
      </c>
    </row>
    <row r="69" spans="1:11" ht="15" customHeight="1" x14ac:dyDescent="0.25">
      <c r="A69" s="454" t="s">
        <v>169</v>
      </c>
      <c r="B69" s="467" t="s">
        <v>160</v>
      </c>
      <c r="C69" s="468" t="s">
        <v>161</v>
      </c>
      <c r="D69" s="460">
        <v>1</v>
      </c>
      <c r="E69" s="221" t="s">
        <v>123</v>
      </c>
      <c r="F69" s="227">
        <v>0</v>
      </c>
      <c r="G69" s="227">
        <v>0</v>
      </c>
      <c r="H69" s="227">
        <v>0</v>
      </c>
      <c r="I69" s="227">
        <f>360103+175200</f>
        <v>535303</v>
      </c>
      <c r="J69" s="237">
        <v>0</v>
      </c>
      <c r="K69" s="228">
        <f>F69+G69+H69+I69+J69</f>
        <v>535303</v>
      </c>
    </row>
    <row r="70" spans="1:11" ht="15" customHeight="1" x14ac:dyDescent="0.25">
      <c r="A70" s="455"/>
      <c r="B70" s="463"/>
      <c r="C70" s="469"/>
      <c r="D70" s="461"/>
      <c r="E70" s="222" t="s">
        <v>124</v>
      </c>
      <c r="F70" s="72">
        <v>129710</v>
      </c>
      <c r="G70" s="72">
        <v>16863</v>
      </c>
      <c r="H70" s="72">
        <v>0</v>
      </c>
      <c r="I70" s="72">
        <v>0</v>
      </c>
      <c r="J70" s="76">
        <v>0</v>
      </c>
      <c r="K70" s="74">
        <f>F70+G70+H70+I70+J70</f>
        <v>146573</v>
      </c>
    </row>
    <row r="71" spans="1:11" ht="15" customHeight="1" thickBot="1" x14ac:dyDescent="0.3">
      <c r="A71" s="456"/>
      <c r="B71" s="464"/>
      <c r="C71" s="470"/>
      <c r="D71" s="462"/>
      <c r="E71" s="223" t="s">
        <v>116</v>
      </c>
      <c r="F71" s="224">
        <f t="shared" ref="F71:K71" si="19">SUM(F69:F70)</f>
        <v>129710</v>
      </c>
      <c r="G71" s="224">
        <f t="shared" si="19"/>
        <v>16863</v>
      </c>
      <c r="H71" s="224">
        <f t="shared" si="19"/>
        <v>0</v>
      </c>
      <c r="I71" s="224">
        <f t="shared" si="19"/>
        <v>535303</v>
      </c>
      <c r="J71" s="224">
        <f t="shared" si="19"/>
        <v>0</v>
      </c>
      <c r="K71" s="225">
        <f t="shared" si="19"/>
        <v>681876</v>
      </c>
    </row>
    <row r="72" spans="1:11" ht="15" customHeight="1" x14ac:dyDescent="0.25">
      <c r="A72" s="454" t="s">
        <v>170</v>
      </c>
      <c r="B72" s="467" t="s">
        <v>174</v>
      </c>
      <c r="C72" s="468" t="s">
        <v>175</v>
      </c>
      <c r="D72" s="460">
        <v>1</v>
      </c>
      <c r="E72" s="221" t="s">
        <v>123</v>
      </c>
      <c r="F72" s="70">
        <v>0</v>
      </c>
      <c r="G72" s="70">
        <v>0</v>
      </c>
      <c r="H72" s="70">
        <v>0</v>
      </c>
      <c r="I72" s="70">
        <v>20855</v>
      </c>
      <c r="J72" s="77">
        <v>0</v>
      </c>
      <c r="K72" s="71">
        <f>F72+G72+H72+I72+J72</f>
        <v>20855</v>
      </c>
    </row>
    <row r="73" spans="1:11" ht="15" customHeight="1" x14ac:dyDescent="0.25">
      <c r="A73" s="455"/>
      <c r="B73" s="463"/>
      <c r="C73" s="469"/>
      <c r="D73" s="461"/>
      <c r="E73" s="222" t="s">
        <v>124</v>
      </c>
      <c r="F73" s="72">
        <v>196425</v>
      </c>
      <c r="G73" s="72">
        <v>25536</v>
      </c>
      <c r="H73" s="72">
        <v>0</v>
      </c>
      <c r="I73" s="72">
        <v>0</v>
      </c>
      <c r="J73" s="76">
        <v>0</v>
      </c>
      <c r="K73" s="74">
        <f>F73+G73+H73+I73+J73</f>
        <v>221961</v>
      </c>
    </row>
    <row r="74" spans="1:11" ht="15" customHeight="1" thickBot="1" x14ac:dyDescent="0.3">
      <c r="A74" s="456"/>
      <c r="B74" s="464"/>
      <c r="C74" s="470"/>
      <c r="D74" s="462"/>
      <c r="E74" s="223" t="s">
        <v>116</v>
      </c>
      <c r="F74" s="224">
        <f t="shared" ref="F74:K74" si="20">SUM(F72:F73)</f>
        <v>196425</v>
      </c>
      <c r="G74" s="224">
        <f t="shared" si="20"/>
        <v>25536</v>
      </c>
      <c r="H74" s="224">
        <f t="shared" si="20"/>
        <v>0</v>
      </c>
      <c r="I74" s="224">
        <f t="shared" si="20"/>
        <v>20855</v>
      </c>
      <c r="J74" s="224">
        <f t="shared" si="20"/>
        <v>0</v>
      </c>
      <c r="K74" s="225">
        <f t="shared" si="20"/>
        <v>242816</v>
      </c>
    </row>
    <row r="75" spans="1:11" ht="15" customHeight="1" x14ac:dyDescent="0.25">
      <c r="A75" s="478" t="s">
        <v>125</v>
      </c>
      <c r="B75" s="479"/>
      <c r="C75" s="479"/>
      <c r="D75" s="480"/>
      <c r="E75" s="233" t="s">
        <v>123</v>
      </c>
      <c r="F75" s="132">
        <f>F12+F15+F18+F21+F24+F27+F30+F33+F36+F39+F42+F45+F48+F51+F54+F57+F60+F63+F66+F69+F72</f>
        <v>88837247</v>
      </c>
      <c r="G75" s="132">
        <f t="shared" ref="G75:K76" si="21">G12+G15+G18+G21+G24+G27+G30+G33+G36+G39+G42+G45+G48+G51+G54+G57+G60+G63+G66+G69+G72</f>
        <v>4916902</v>
      </c>
      <c r="H75" s="132">
        <f t="shared" si="21"/>
        <v>576608668</v>
      </c>
      <c r="I75" s="132">
        <f t="shared" si="21"/>
        <v>31617800</v>
      </c>
      <c r="J75" s="132">
        <f t="shared" si="21"/>
        <v>190588226</v>
      </c>
      <c r="K75" s="234">
        <f t="shared" si="21"/>
        <v>892568843</v>
      </c>
    </row>
    <row r="76" spans="1:11" ht="15" customHeight="1" x14ac:dyDescent="0.25">
      <c r="A76" s="481"/>
      <c r="B76" s="482"/>
      <c r="C76" s="482"/>
      <c r="D76" s="483"/>
      <c r="E76" s="245" t="s">
        <v>124</v>
      </c>
      <c r="F76" s="133">
        <f>F13+F16+F19+F22+F25+F28+F31+F34+F37+F40+F43+F46+F49+F52+F55+F58+F61+F64+F67+F70+F73</f>
        <v>176988972</v>
      </c>
      <c r="G76" s="133">
        <f t="shared" si="21"/>
        <v>23653367</v>
      </c>
      <c r="H76" s="133">
        <f t="shared" si="21"/>
        <v>16049749</v>
      </c>
      <c r="I76" s="133">
        <f t="shared" si="21"/>
        <v>0</v>
      </c>
      <c r="J76" s="133">
        <f t="shared" si="21"/>
        <v>0</v>
      </c>
      <c r="K76" s="236">
        <f t="shared" si="21"/>
        <v>216692088</v>
      </c>
    </row>
    <row r="77" spans="1:11" ht="15" customHeight="1" thickBot="1" x14ac:dyDescent="0.3">
      <c r="A77" s="402"/>
      <c r="B77" s="403"/>
      <c r="C77" s="403"/>
      <c r="D77" s="484"/>
      <c r="E77" s="246" t="s">
        <v>116</v>
      </c>
      <c r="F77" s="134">
        <f>SUM(F75:F76)</f>
        <v>265826219</v>
      </c>
      <c r="G77" s="134">
        <f>SUM(G75:G76)</f>
        <v>28570269</v>
      </c>
      <c r="H77" s="134">
        <f>SUM(H75:H76)</f>
        <v>592658417</v>
      </c>
      <c r="I77" s="134">
        <f>SUM(I75:I76)</f>
        <v>31617800</v>
      </c>
      <c r="J77" s="134">
        <f t="shared" ref="J77:K77" si="22">SUM(J75:J76)</f>
        <v>190588226</v>
      </c>
      <c r="K77" s="135">
        <f t="shared" si="22"/>
        <v>1109260931</v>
      </c>
    </row>
    <row r="78" spans="1:11" ht="15" customHeight="1" x14ac:dyDescent="0.25">
      <c r="A78" s="489"/>
      <c r="B78" s="489"/>
      <c r="C78" s="489"/>
      <c r="D78" s="489"/>
      <c r="E78" s="489"/>
      <c r="F78" s="489"/>
      <c r="G78" s="489"/>
    </row>
    <row r="80" spans="1:11" ht="35.25" x14ac:dyDescent="0.5">
      <c r="A80" s="89"/>
    </row>
  </sheetData>
  <mergeCells count="101">
    <mergeCell ref="A72:A74"/>
    <mergeCell ref="B72:B74"/>
    <mergeCell ref="C72:C74"/>
    <mergeCell ref="D72:D74"/>
    <mergeCell ref="A75:D77"/>
    <mergeCell ref="A78:G78"/>
    <mergeCell ref="A66:A68"/>
    <mergeCell ref="B66:B68"/>
    <mergeCell ref="C66:C68"/>
    <mergeCell ref="D66:D68"/>
    <mergeCell ref="A69:A71"/>
    <mergeCell ref="B69:B71"/>
    <mergeCell ref="C69:C71"/>
    <mergeCell ref="D69:D71"/>
    <mergeCell ref="A60:A62"/>
    <mergeCell ref="B60:B62"/>
    <mergeCell ref="C60:C62"/>
    <mergeCell ref="D60:D62"/>
    <mergeCell ref="A63:A65"/>
    <mergeCell ref="B63:B65"/>
    <mergeCell ref="C63:C65"/>
    <mergeCell ref="D63:D65"/>
    <mergeCell ref="A48:A50"/>
    <mergeCell ref="B48:B50"/>
    <mergeCell ref="C48:C50"/>
    <mergeCell ref="D48:D50"/>
    <mergeCell ref="A57:A59"/>
    <mergeCell ref="B57:B59"/>
    <mergeCell ref="C57:C59"/>
    <mergeCell ref="D57:D59"/>
    <mergeCell ref="A54:A56"/>
    <mergeCell ref="B54:B56"/>
    <mergeCell ref="C54:C56"/>
    <mergeCell ref="D54:D56"/>
    <mergeCell ref="A42:A44"/>
    <mergeCell ref="B42:B44"/>
    <mergeCell ref="C42:C44"/>
    <mergeCell ref="D42:D44"/>
    <mergeCell ref="A45:A47"/>
    <mergeCell ref="B45:B47"/>
    <mergeCell ref="C45:C47"/>
    <mergeCell ref="D45:D47"/>
    <mergeCell ref="A51:A53"/>
    <mergeCell ref="B51:B53"/>
    <mergeCell ref="C51:C53"/>
    <mergeCell ref="D51:D53"/>
    <mergeCell ref="A33:A35"/>
    <mergeCell ref="B33:B35"/>
    <mergeCell ref="C33:C35"/>
    <mergeCell ref="D33:D35"/>
    <mergeCell ref="A39:A41"/>
    <mergeCell ref="B39:B41"/>
    <mergeCell ref="C39:C41"/>
    <mergeCell ref="D39:D41"/>
    <mergeCell ref="A27:A29"/>
    <mergeCell ref="B27:B29"/>
    <mergeCell ref="C27:C29"/>
    <mergeCell ref="D27:D29"/>
    <mergeCell ref="A30:A32"/>
    <mergeCell ref="B30:B32"/>
    <mergeCell ref="C30:C32"/>
    <mergeCell ref="D30:D32"/>
    <mergeCell ref="A36:A38"/>
    <mergeCell ref="B36:B38"/>
    <mergeCell ref="C36:C38"/>
    <mergeCell ref="D36:D38"/>
    <mergeCell ref="A21:A23"/>
    <mergeCell ref="B21:B23"/>
    <mergeCell ref="C21:C23"/>
    <mergeCell ref="D21:D23"/>
    <mergeCell ref="A24:A26"/>
    <mergeCell ref="B24:B26"/>
    <mergeCell ref="C24:C26"/>
    <mergeCell ref="D24:D26"/>
    <mergeCell ref="A15:A17"/>
    <mergeCell ref="B15:B17"/>
    <mergeCell ref="C15:C17"/>
    <mergeCell ref="D15:D17"/>
    <mergeCell ref="A18:A20"/>
    <mergeCell ref="B18:B20"/>
    <mergeCell ref="C18:C20"/>
    <mergeCell ref="D18:D20"/>
    <mergeCell ref="D10:D11"/>
    <mergeCell ref="E10:E11"/>
    <mergeCell ref="F10:K10"/>
    <mergeCell ref="A12:A14"/>
    <mergeCell ref="B12:B14"/>
    <mergeCell ref="C12:C14"/>
    <mergeCell ref="D12:D14"/>
    <mergeCell ref="E1:K1"/>
    <mergeCell ref="A5:K5"/>
    <mergeCell ref="A6:K6"/>
    <mergeCell ref="A7:K7"/>
    <mergeCell ref="J8:K8"/>
    <mergeCell ref="A9:A11"/>
    <mergeCell ref="B9:D9"/>
    <mergeCell ref="E9:K9"/>
    <mergeCell ref="B10:B11"/>
    <mergeCell ref="C10:C11"/>
    <mergeCell ref="E2:K2"/>
    <mergeCell ref="A4:K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r:id="rId1"/>
  <rowBreaks count="1" manualBreakCount="1">
    <brk id="4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EDF8B-03F0-46D6-B05A-25EEB8749402}">
  <sheetPr>
    <tabColor theme="6" tint="0.59999389629810485"/>
  </sheetPr>
  <dimension ref="A1:F22"/>
  <sheetViews>
    <sheetView zoomScale="120" zoomScaleNormal="120" workbookViewId="0">
      <selection activeCell="D23" sqref="D23"/>
    </sheetView>
  </sheetViews>
  <sheetFormatPr defaultRowHeight="15.75" x14ac:dyDescent="0.25"/>
  <cols>
    <col min="1" max="1" width="5.42578125" style="4" customWidth="1"/>
    <col min="2" max="2" width="86.140625" style="15" customWidth="1"/>
    <col min="3" max="3" width="12.42578125" style="10" customWidth="1"/>
    <col min="4" max="6" width="12.7109375" style="3" customWidth="1"/>
    <col min="7" max="16384" width="9.140625" style="3"/>
  </cols>
  <sheetData>
    <row r="1" spans="1:6" ht="14.25" x14ac:dyDescent="0.2">
      <c r="A1" s="391" t="s">
        <v>250</v>
      </c>
      <c r="B1" s="391"/>
      <c r="C1" s="391"/>
      <c r="D1" s="391"/>
      <c r="E1" s="391"/>
      <c r="F1" s="391"/>
    </row>
    <row r="2" spans="1:6" ht="14.25" x14ac:dyDescent="0.2">
      <c r="A2" s="391" t="s">
        <v>249</v>
      </c>
      <c r="B2" s="391"/>
      <c r="C2" s="391"/>
      <c r="D2" s="391"/>
      <c r="E2" s="391"/>
      <c r="F2" s="391"/>
    </row>
    <row r="3" spans="1:6" x14ac:dyDescent="0.25">
      <c r="A3" s="12"/>
      <c r="B3" s="9"/>
      <c r="C3" s="9"/>
    </row>
    <row r="4" spans="1:6" x14ac:dyDescent="0.25">
      <c r="A4" s="382" t="s">
        <v>220</v>
      </c>
      <c r="B4" s="382"/>
      <c r="C4" s="382"/>
      <c r="D4" s="382"/>
      <c r="E4" s="382"/>
      <c r="F4" s="382"/>
    </row>
    <row r="5" spans="1:6" x14ac:dyDescent="0.2">
      <c r="A5" s="518" t="s">
        <v>244</v>
      </c>
      <c r="B5" s="518"/>
      <c r="C5" s="518"/>
      <c r="D5" s="518"/>
      <c r="E5" s="518"/>
      <c r="F5" s="518"/>
    </row>
    <row r="6" spans="1:6" x14ac:dyDescent="0.25">
      <c r="A6" s="382" t="s">
        <v>221</v>
      </c>
      <c r="B6" s="382"/>
      <c r="C6" s="382"/>
      <c r="D6" s="382"/>
      <c r="E6" s="382"/>
      <c r="F6" s="382"/>
    </row>
    <row r="7" spans="1:6" ht="15" customHeight="1" x14ac:dyDescent="0.25">
      <c r="A7" s="382" t="s">
        <v>222</v>
      </c>
      <c r="B7" s="382"/>
      <c r="C7" s="382"/>
      <c r="D7" s="382"/>
      <c r="E7" s="382"/>
      <c r="F7" s="382"/>
    </row>
    <row r="8" spans="1:6" ht="16.5" thickBot="1" x14ac:dyDescent="0.3">
      <c r="B8" s="13"/>
      <c r="D8" s="517" t="s">
        <v>182</v>
      </c>
      <c r="E8" s="517"/>
      <c r="F8" s="517"/>
    </row>
    <row r="9" spans="1:6" ht="15" customHeight="1" x14ac:dyDescent="0.2">
      <c r="A9" s="498" t="s">
        <v>9</v>
      </c>
      <c r="B9" s="501" t="s">
        <v>36</v>
      </c>
      <c r="C9" s="502"/>
      <c r="D9" s="507" t="s">
        <v>39</v>
      </c>
      <c r="E9" s="511" t="s">
        <v>151</v>
      </c>
      <c r="F9" s="514" t="s">
        <v>106</v>
      </c>
    </row>
    <row r="10" spans="1:6" ht="15" customHeight="1" x14ac:dyDescent="0.2">
      <c r="A10" s="499"/>
      <c r="B10" s="503"/>
      <c r="C10" s="504"/>
      <c r="D10" s="508" t="s">
        <v>106</v>
      </c>
      <c r="E10" s="512" t="s">
        <v>106</v>
      </c>
      <c r="F10" s="515" t="s">
        <v>106</v>
      </c>
    </row>
    <row r="11" spans="1:6" ht="13.5" thickBot="1" x14ac:dyDescent="0.25">
      <c r="A11" s="500"/>
      <c r="B11" s="505"/>
      <c r="C11" s="506"/>
      <c r="D11" s="509" t="s">
        <v>106</v>
      </c>
      <c r="E11" s="513" t="s">
        <v>106</v>
      </c>
      <c r="F11" s="516" t="s">
        <v>106</v>
      </c>
    </row>
    <row r="12" spans="1:6" ht="17.100000000000001" customHeight="1" x14ac:dyDescent="0.2">
      <c r="A12" s="274" t="s">
        <v>1</v>
      </c>
      <c r="B12" s="519" t="s">
        <v>31</v>
      </c>
      <c r="C12" s="520"/>
      <c r="D12" s="275">
        <v>4000000</v>
      </c>
      <c r="E12" s="276">
        <v>2000000</v>
      </c>
      <c r="F12" s="277">
        <f>D12+E12</f>
        <v>6000000</v>
      </c>
    </row>
    <row r="13" spans="1:6" ht="17.100000000000001" customHeight="1" x14ac:dyDescent="0.2">
      <c r="A13" s="36" t="s">
        <v>2</v>
      </c>
      <c r="B13" s="490" t="s">
        <v>245</v>
      </c>
      <c r="C13" s="491"/>
      <c r="D13" s="271">
        <v>1054500</v>
      </c>
      <c r="E13" s="53">
        <v>0</v>
      </c>
      <c r="F13" s="277">
        <f t="shared" ref="F13:F17" si="0">D13+E13</f>
        <v>1054500</v>
      </c>
    </row>
    <row r="14" spans="1:6" ht="17.100000000000001" customHeight="1" x14ac:dyDescent="0.2">
      <c r="A14" s="214" t="s">
        <v>4</v>
      </c>
      <c r="B14" s="490" t="s">
        <v>246</v>
      </c>
      <c r="C14" s="491"/>
      <c r="D14" s="271">
        <v>50000</v>
      </c>
      <c r="E14" s="53">
        <v>0</v>
      </c>
      <c r="F14" s="277">
        <f t="shared" si="0"/>
        <v>50000</v>
      </c>
    </row>
    <row r="15" spans="1:6" ht="17.100000000000001" customHeight="1" x14ac:dyDescent="0.2">
      <c r="A15" s="36" t="s">
        <v>5</v>
      </c>
      <c r="B15" s="492" t="s">
        <v>247</v>
      </c>
      <c r="C15" s="493"/>
      <c r="D15" s="272">
        <v>50000</v>
      </c>
      <c r="E15" s="53">
        <v>0</v>
      </c>
      <c r="F15" s="277">
        <f t="shared" si="0"/>
        <v>50000</v>
      </c>
    </row>
    <row r="16" spans="1:6" ht="17.100000000000001" customHeight="1" x14ac:dyDescent="0.2">
      <c r="A16" s="278" t="s">
        <v>7</v>
      </c>
      <c r="B16" s="494" t="s">
        <v>248</v>
      </c>
      <c r="C16" s="495"/>
      <c r="D16" s="272">
        <v>113000</v>
      </c>
      <c r="E16" s="54">
        <v>0</v>
      </c>
      <c r="F16" s="277">
        <f t="shared" si="0"/>
        <v>113000</v>
      </c>
    </row>
    <row r="17" spans="1:6" ht="17.100000000000001" customHeight="1" thickBot="1" x14ac:dyDescent="0.25">
      <c r="A17" s="278" t="s">
        <v>28</v>
      </c>
      <c r="B17" s="490" t="s">
        <v>32</v>
      </c>
      <c r="C17" s="510"/>
      <c r="D17" s="272">
        <v>0</v>
      </c>
      <c r="E17" s="54">
        <v>100000</v>
      </c>
      <c r="F17" s="277">
        <f t="shared" si="0"/>
        <v>100000</v>
      </c>
    </row>
    <row r="18" spans="1:6" ht="17.100000000000001" customHeight="1" thickBot="1" x14ac:dyDescent="0.25">
      <c r="A18" s="496" t="s">
        <v>11</v>
      </c>
      <c r="B18" s="497"/>
      <c r="C18" s="497"/>
      <c r="D18" s="273">
        <f>SUM(D12:D17)</f>
        <v>5267500</v>
      </c>
      <c r="E18" s="273">
        <f t="shared" ref="E18:F18" si="1">SUM(E12:E17)</f>
        <v>2100000</v>
      </c>
      <c r="F18" s="266">
        <f t="shared" si="1"/>
        <v>7367500</v>
      </c>
    </row>
    <row r="19" spans="1:6" ht="18.75" x14ac:dyDescent="0.3">
      <c r="A19" s="267"/>
      <c r="B19" s="268"/>
      <c r="C19" s="269"/>
    </row>
    <row r="20" spans="1:6" x14ac:dyDescent="0.25">
      <c r="D20" s="90"/>
    </row>
    <row r="21" spans="1:6" ht="23.25" x14ac:dyDescent="0.35">
      <c r="B21" s="270"/>
    </row>
    <row r="22" spans="1:6" x14ac:dyDescent="0.25">
      <c r="D22" s="90"/>
    </row>
  </sheetData>
  <mergeCells count="19">
    <mergeCell ref="D9:D11"/>
    <mergeCell ref="A1:F1"/>
    <mergeCell ref="A2:F2"/>
    <mergeCell ref="A7:F7"/>
    <mergeCell ref="B17:C17"/>
    <mergeCell ref="E9:E11"/>
    <mergeCell ref="F9:F11"/>
    <mergeCell ref="D8:F8"/>
    <mergeCell ref="A4:F4"/>
    <mergeCell ref="A5:F5"/>
    <mergeCell ref="A6:F6"/>
    <mergeCell ref="B12:C12"/>
    <mergeCell ref="B13:C13"/>
    <mergeCell ref="B14:C14"/>
    <mergeCell ref="B15:C15"/>
    <mergeCell ref="B16:C16"/>
    <mergeCell ref="A18:C18"/>
    <mergeCell ref="A9:A11"/>
    <mergeCell ref="B9:C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0.59999389629810485"/>
  </sheetPr>
  <dimension ref="A1:G41"/>
  <sheetViews>
    <sheetView topLeftCell="A19" zoomScale="120" zoomScaleNormal="120" zoomScaleSheetLayoutView="100" workbookViewId="0">
      <selection activeCell="J28" sqref="J28"/>
    </sheetView>
  </sheetViews>
  <sheetFormatPr defaultColWidth="9.140625" defaultRowHeight="15.75" x14ac:dyDescent="0.25"/>
  <cols>
    <col min="1" max="1" width="5.42578125" style="4" customWidth="1"/>
    <col min="2" max="2" width="101.7109375" style="15" customWidth="1"/>
    <col min="3" max="3" width="4.5703125" style="10" customWidth="1"/>
    <col min="4" max="4" width="12.7109375" style="10" customWidth="1"/>
    <col min="5" max="6" width="12.7109375" style="3" customWidth="1"/>
    <col min="7" max="16384" width="9.140625" style="3"/>
  </cols>
  <sheetData>
    <row r="1" spans="1:7" ht="15" customHeight="1" x14ac:dyDescent="0.2">
      <c r="A1" s="391" t="s">
        <v>216</v>
      </c>
      <c r="B1" s="391"/>
      <c r="C1" s="391"/>
      <c r="D1" s="391"/>
      <c r="E1" s="391"/>
      <c r="F1" s="391"/>
      <c r="G1" s="58"/>
    </row>
    <row r="2" spans="1:7" ht="15" customHeight="1" x14ac:dyDescent="0.2">
      <c r="A2" s="391" t="s">
        <v>218</v>
      </c>
      <c r="B2" s="391"/>
      <c r="C2" s="391"/>
      <c r="D2" s="391"/>
      <c r="E2" s="391"/>
      <c r="F2" s="391"/>
      <c r="G2" s="58"/>
    </row>
    <row r="3" spans="1:7" ht="15" customHeight="1" x14ac:dyDescent="0.25">
      <c r="A3" s="12"/>
      <c r="B3" s="9"/>
      <c r="C3" s="9"/>
      <c r="D3" s="90"/>
    </row>
    <row r="4" spans="1:7" ht="15" customHeight="1" x14ac:dyDescent="0.25">
      <c r="A4" s="382" t="s">
        <v>220</v>
      </c>
      <c r="B4" s="382"/>
      <c r="C4" s="382"/>
      <c r="D4" s="382"/>
      <c r="E4" s="382"/>
      <c r="F4" s="382"/>
    </row>
    <row r="5" spans="1:7" ht="15" customHeight="1" x14ac:dyDescent="0.25">
      <c r="A5" s="382" t="s">
        <v>133</v>
      </c>
      <c r="B5" s="382"/>
      <c r="C5" s="382"/>
      <c r="D5" s="382"/>
      <c r="E5" s="382"/>
      <c r="F5" s="382"/>
    </row>
    <row r="6" spans="1:7" ht="15" customHeight="1" x14ac:dyDescent="0.25">
      <c r="A6" s="382" t="s">
        <v>221</v>
      </c>
      <c r="B6" s="382"/>
      <c r="C6" s="382"/>
      <c r="D6" s="382"/>
      <c r="E6" s="382"/>
      <c r="F6" s="382"/>
    </row>
    <row r="7" spans="1:7" ht="15" customHeight="1" x14ac:dyDescent="0.25">
      <c r="A7" s="382" t="s">
        <v>222</v>
      </c>
      <c r="B7" s="382"/>
      <c r="C7" s="382"/>
      <c r="D7" s="382"/>
      <c r="E7" s="382"/>
      <c r="F7" s="382"/>
    </row>
    <row r="8" spans="1:7" ht="15" customHeight="1" thickBot="1" x14ac:dyDescent="0.3">
      <c r="B8" s="13"/>
      <c r="C8" s="14"/>
      <c r="F8" s="14" t="s">
        <v>182</v>
      </c>
    </row>
    <row r="9" spans="1:7" ht="15" customHeight="1" x14ac:dyDescent="0.2">
      <c r="A9" s="523" t="s">
        <v>9</v>
      </c>
      <c r="B9" s="501" t="s">
        <v>36</v>
      </c>
      <c r="C9" s="525"/>
      <c r="D9" s="527" t="s">
        <v>39</v>
      </c>
      <c r="E9" s="536" t="s">
        <v>151</v>
      </c>
      <c r="F9" s="538" t="s">
        <v>106</v>
      </c>
    </row>
    <row r="10" spans="1:7" ht="15" customHeight="1" thickBot="1" x14ac:dyDescent="0.25">
      <c r="A10" s="524"/>
      <c r="B10" s="505"/>
      <c r="C10" s="526"/>
      <c r="D10" s="528" t="s">
        <v>106</v>
      </c>
      <c r="E10" s="537"/>
      <c r="F10" s="539" t="s">
        <v>106</v>
      </c>
    </row>
    <row r="11" spans="1:7" s="1" customFormat="1" ht="17.100000000000001" customHeight="1" x14ac:dyDescent="0.2">
      <c r="A11" s="540" t="s">
        <v>33</v>
      </c>
      <c r="B11" s="541"/>
      <c r="C11" s="541"/>
      <c r="D11" s="541"/>
      <c r="E11" s="541"/>
      <c r="F11" s="542"/>
    </row>
    <row r="12" spans="1:7" s="1" customFormat="1" ht="17.100000000000001" customHeight="1" x14ac:dyDescent="0.2">
      <c r="A12" s="543" t="s">
        <v>102</v>
      </c>
      <c r="B12" s="544"/>
      <c r="C12" s="544"/>
      <c r="D12" s="544"/>
      <c r="E12" s="544"/>
      <c r="F12" s="545"/>
    </row>
    <row r="13" spans="1:7" s="1" customFormat="1" ht="17.100000000000001" customHeight="1" x14ac:dyDescent="0.2">
      <c r="A13" s="36" t="s">
        <v>1</v>
      </c>
      <c r="B13" s="529" t="s">
        <v>251</v>
      </c>
      <c r="C13" s="530"/>
      <c r="D13" s="280">
        <v>2000000</v>
      </c>
      <c r="E13" s="115">
        <v>0</v>
      </c>
      <c r="F13" s="116">
        <f>D13+E13</f>
        <v>2000000</v>
      </c>
    </row>
    <row r="14" spans="1:7" s="1" customFormat="1" ht="17.100000000000001" customHeight="1" x14ac:dyDescent="0.2">
      <c r="A14" s="37" t="s">
        <v>2</v>
      </c>
      <c r="B14" s="529" t="s">
        <v>252</v>
      </c>
      <c r="C14" s="530"/>
      <c r="D14" s="280">
        <v>250000</v>
      </c>
      <c r="E14" s="115">
        <v>0</v>
      </c>
      <c r="F14" s="116">
        <f t="shared" ref="F14:F31" si="0">D14+E14</f>
        <v>250000</v>
      </c>
    </row>
    <row r="15" spans="1:7" s="1" customFormat="1" ht="17.100000000000001" customHeight="1" x14ac:dyDescent="0.2">
      <c r="A15" s="37" t="s">
        <v>4</v>
      </c>
      <c r="B15" s="521" t="s">
        <v>196</v>
      </c>
      <c r="C15" s="522"/>
      <c r="D15" s="281">
        <v>7299129</v>
      </c>
      <c r="E15" s="115">
        <v>0</v>
      </c>
      <c r="F15" s="116">
        <f t="shared" si="0"/>
        <v>7299129</v>
      </c>
    </row>
    <row r="16" spans="1:7" s="1" customFormat="1" ht="17.100000000000001" customHeight="1" x14ac:dyDescent="0.2">
      <c r="A16" s="37" t="s">
        <v>5</v>
      </c>
      <c r="B16" s="521" t="s">
        <v>197</v>
      </c>
      <c r="C16" s="522"/>
      <c r="D16" s="282">
        <v>1671064</v>
      </c>
      <c r="E16" s="115">
        <v>0</v>
      </c>
      <c r="F16" s="116">
        <f t="shared" si="0"/>
        <v>1671064</v>
      </c>
    </row>
    <row r="17" spans="1:6" s="1" customFormat="1" ht="17.100000000000001" customHeight="1" x14ac:dyDescent="0.2">
      <c r="A17" s="37" t="s">
        <v>7</v>
      </c>
      <c r="B17" s="521" t="s">
        <v>198</v>
      </c>
      <c r="C17" s="522"/>
      <c r="D17" s="281">
        <v>16298511</v>
      </c>
      <c r="E17" s="117">
        <v>0</v>
      </c>
      <c r="F17" s="116">
        <f t="shared" si="0"/>
        <v>16298511</v>
      </c>
    </row>
    <row r="18" spans="1:6" s="1" customFormat="1" ht="17.100000000000001" customHeight="1" x14ac:dyDescent="0.2">
      <c r="A18" s="37" t="s">
        <v>28</v>
      </c>
      <c r="B18" s="521" t="s">
        <v>199</v>
      </c>
      <c r="C18" s="522"/>
      <c r="D18" s="282">
        <v>2050612</v>
      </c>
      <c r="E18" s="115">
        <v>1290</v>
      </c>
      <c r="F18" s="116">
        <f t="shared" ref="F18:F29" si="1">D18+E18</f>
        <v>2051902</v>
      </c>
    </row>
    <row r="19" spans="1:6" s="1" customFormat="1" ht="17.100000000000001" customHeight="1" x14ac:dyDescent="0.2">
      <c r="A19" s="37" t="s">
        <v>90</v>
      </c>
      <c r="B19" s="521" t="s">
        <v>200</v>
      </c>
      <c r="C19" s="522"/>
      <c r="D19" s="282">
        <v>17941118</v>
      </c>
      <c r="E19" s="117">
        <v>0</v>
      </c>
      <c r="F19" s="116">
        <f t="shared" si="1"/>
        <v>17941118</v>
      </c>
    </row>
    <row r="20" spans="1:6" s="1" customFormat="1" ht="17.100000000000001" customHeight="1" x14ac:dyDescent="0.2">
      <c r="A20" s="37" t="s">
        <v>180</v>
      </c>
      <c r="B20" s="521" t="s">
        <v>201</v>
      </c>
      <c r="C20" s="522"/>
      <c r="D20" s="282">
        <v>2202120</v>
      </c>
      <c r="E20" s="115">
        <v>1384</v>
      </c>
      <c r="F20" s="116">
        <f t="shared" si="1"/>
        <v>2203504</v>
      </c>
    </row>
    <row r="21" spans="1:6" s="1" customFormat="1" ht="17.100000000000001" customHeight="1" x14ac:dyDescent="0.2">
      <c r="A21" s="37" t="s">
        <v>181</v>
      </c>
      <c r="B21" s="521" t="s">
        <v>253</v>
      </c>
      <c r="C21" s="522"/>
      <c r="D21" s="283">
        <v>12735125</v>
      </c>
      <c r="E21" s="117">
        <v>0</v>
      </c>
      <c r="F21" s="116">
        <f t="shared" si="1"/>
        <v>12735125</v>
      </c>
    </row>
    <row r="22" spans="1:6" s="1" customFormat="1" ht="17.100000000000001" customHeight="1" x14ac:dyDescent="0.2">
      <c r="A22" s="37" t="s">
        <v>173</v>
      </c>
      <c r="B22" s="521" t="s">
        <v>254</v>
      </c>
      <c r="C22" s="522"/>
      <c r="D22" s="282">
        <v>1932496</v>
      </c>
      <c r="E22" s="115">
        <v>0</v>
      </c>
      <c r="F22" s="116">
        <f t="shared" si="1"/>
        <v>1932496</v>
      </c>
    </row>
    <row r="23" spans="1:6" s="1" customFormat="1" ht="17.100000000000001" customHeight="1" x14ac:dyDescent="0.2">
      <c r="A23" s="37" t="s">
        <v>134</v>
      </c>
      <c r="B23" s="521" t="s">
        <v>255</v>
      </c>
      <c r="C23" s="522"/>
      <c r="D23" s="281">
        <v>13353101</v>
      </c>
      <c r="E23" s="117">
        <v>0</v>
      </c>
      <c r="F23" s="116">
        <f t="shared" si="1"/>
        <v>13353101</v>
      </c>
    </row>
    <row r="24" spans="1:6" s="1" customFormat="1" ht="17.100000000000001" customHeight="1" x14ac:dyDescent="0.2">
      <c r="A24" s="37" t="s">
        <v>135</v>
      </c>
      <c r="B24" s="521" t="s">
        <v>256</v>
      </c>
      <c r="C24" s="522"/>
      <c r="D24" s="282">
        <v>1804060</v>
      </c>
      <c r="E24" s="115">
        <v>0</v>
      </c>
      <c r="F24" s="116">
        <f t="shared" si="1"/>
        <v>1804060</v>
      </c>
    </row>
    <row r="25" spans="1:6" s="1" customFormat="1" ht="17.100000000000001" customHeight="1" x14ac:dyDescent="0.2">
      <c r="A25" s="37" t="s">
        <v>136</v>
      </c>
      <c r="B25" s="560" t="s">
        <v>257</v>
      </c>
      <c r="C25" s="561"/>
      <c r="D25" s="284">
        <v>847500</v>
      </c>
      <c r="E25" s="117">
        <v>0</v>
      </c>
      <c r="F25" s="116">
        <f t="shared" si="1"/>
        <v>847500</v>
      </c>
    </row>
    <row r="26" spans="1:6" s="1" customFormat="1" ht="17.100000000000001" customHeight="1" x14ac:dyDescent="0.2">
      <c r="A26" s="37" t="s">
        <v>137</v>
      </c>
      <c r="B26" s="529" t="s">
        <v>258</v>
      </c>
      <c r="C26" s="530"/>
      <c r="D26" s="284">
        <v>97348</v>
      </c>
      <c r="E26" s="115">
        <v>0</v>
      </c>
      <c r="F26" s="116">
        <f t="shared" si="1"/>
        <v>97348</v>
      </c>
    </row>
    <row r="27" spans="1:6" s="1" customFormat="1" ht="17.100000000000001" customHeight="1" x14ac:dyDescent="0.2">
      <c r="A27" s="37" t="s">
        <v>138</v>
      </c>
      <c r="B27" s="529" t="s">
        <v>259</v>
      </c>
      <c r="C27" s="530"/>
      <c r="D27" s="284">
        <v>116794</v>
      </c>
      <c r="E27" s="117">
        <v>0</v>
      </c>
      <c r="F27" s="116">
        <f t="shared" si="1"/>
        <v>116794</v>
      </c>
    </row>
    <row r="28" spans="1:6" s="1" customFormat="1" ht="17.100000000000001" customHeight="1" x14ac:dyDescent="0.2">
      <c r="A28" s="37" t="s">
        <v>146</v>
      </c>
      <c r="B28" s="529" t="s">
        <v>260</v>
      </c>
      <c r="C28" s="530"/>
      <c r="D28" s="284">
        <v>360103</v>
      </c>
      <c r="E28" s="115">
        <v>175200</v>
      </c>
      <c r="F28" s="116">
        <f t="shared" si="1"/>
        <v>535303</v>
      </c>
    </row>
    <row r="29" spans="1:6" s="1" customFormat="1" ht="17.100000000000001" customHeight="1" x14ac:dyDescent="0.2">
      <c r="A29" s="37" t="s">
        <v>147</v>
      </c>
      <c r="B29" s="529" t="s">
        <v>261</v>
      </c>
      <c r="C29" s="530"/>
      <c r="D29" s="284">
        <v>20855</v>
      </c>
      <c r="E29" s="117">
        <v>0</v>
      </c>
      <c r="F29" s="116">
        <f t="shared" si="1"/>
        <v>20855</v>
      </c>
    </row>
    <row r="30" spans="1:6" s="1" customFormat="1" ht="17.100000000000001" customHeight="1" x14ac:dyDescent="0.2">
      <c r="A30" s="548" t="s">
        <v>104</v>
      </c>
      <c r="B30" s="549"/>
      <c r="C30" s="550"/>
      <c r="D30" s="285">
        <f>SUM(D13:D29)</f>
        <v>80979936</v>
      </c>
      <c r="E30" s="298">
        <f t="shared" ref="E30:F30" si="2">SUM(E13:E29)</f>
        <v>177874</v>
      </c>
      <c r="F30" s="279">
        <f t="shared" si="2"/>
        <v>81157810</v>
      </c>
    </row>
    <row r="31" spans="1:6" s="1" customFormat="1" ht="17.100000000000001" customHeight="1" thickBot="1" x14ac:dyDescent="0.25">
      <c r="A31" s="557" t="s">
        <v>37</v>
      </c>
      <c r="B31" s="558"/>
      <c r="C31" s="559"/>
      <c r="D31" s="286">
        <f>D30</f>
        <v>80979936</v>
      </c>
      <c r="E31" s="301">
        <f>E30</f>
        <v>177874</v>
      </c>
      <c r="F31" s="118">
        <f t="shared" si="0"/>
        <v>81157810</v>
      </c>
    </row>
    <row r="32" spans="1:6" s="8" customFormat="1" ht="17.100000000000001" customHeight="1" x14ac:dyDescent="0.2">
      <c r="A32" s="540" t="s">
        <v>34</v>
      </c>
      <c r="B32" s="541"/>
      <c r="C32" s="541"/>
      <c r="D32" s="541"/>
      <c r="E32" s="541"/>
      <c r="F32" s="542"/>
    </row>
    <row r="33" spans="1:6" s="8" customFormat="1" ht="17.100000000000001" customHeight="1" x14ac:dyDescent="0.2">
      <c r="A33" s="554" t="s">
        <v>103</v>
      </c>
      <c r="B33" s="555"/>
      <c r="C33" s="555"/>
      <c r="D33" s="555"/>
      <c r="E33" s="555"/>
      <c r="F33" s="556"/>
    </row>
    <row r="34" spans="1:6" s="26" customFormat="1" ht="17.100000000000001" customHeight="1" x14ac:dyDescent="0.2">
      <c r="A34" s="36" t="s">
        <v>148</v>
      </c>
      <c r="B34" s="546" t="s">
        <v>31</v>
      </c>
      <c r="C34" s="547"/>
      <c r="D34" s="57">
        <v>4000000</v>
      </c>
      <c r="E34" s="126">
        <v>2000000</v>
      </c>
      <c r="F34" s="119">
        <f t="shared" ref="F34:F37" si="3">D34+E34</f>
        <v>6000000</v>
      </c>
    </row>
    <row r="35" spans="1:6" s="1" customFormat="1" ht="17.100000000000001" customHeight="1" x14ac:dyDescent="0.2">
      <c r="A35" s="36" t="s">
        <v>168</v>
      </c>
      <c r="B35" s="490" t="s">
        <v>32</v>
      </c>
      <c r="C35" s="510"/>
      <c r="D35" s="57">
        <v>0</v>
      </c>
      <c r="E35" s="126">
        <v>100000</v>
      </c>
      <c r="F35" s="125">
        <f t="shared" si="3"/>
        <v>100000</v>
      </c>
    </row>
    <row r="36" spans="1:6" s="1" customFormat="1" ht="17.100000000000001" customHeight="1" x14ac:dyDescent="0.2">
      <c r="A36" s="548" t="s">
        <v>105</v>
      </c>
      <c r="B36" s="549"/>
      <c r="C36" s="550"/>
      <c r="D36" s="123">
        <f>SUM(D34:D35)</f>
        <v>4000000</v>
      </c>
      <c r="E36" s="124">
        <f>SUM(E34:E35)</f>
        <v>2100000</v>
      </c>
      <c r="F36" s="125">
        <f t="shared" si="3"/>
        <v>6100000</v>
      </c>
    </row>
    <row r="37" spans="1:6" s="1" customFormat="1" ht="17.100000000000001" customHeight="1" thickBot="1" x14ac:dyDescent="0.25">
      <c r="A37" s="551" t="s">
        <v>11</v>
      </c>
      <c r="B37" s="552"/>
      <c r="C37" s="553"/>
      <c r="D37" s="288">
        <f>D36</f>
        <v>4000000</v>
      </c>
      <c r="E37" s="287">
        <f>E36</f>
        <v>2100000</v>
      </c>
      <c r="F37" s="289">
        <f t="shared" si="3"/>
        <v>6100000</v>
      </c>
    </row>
    <row r="38" spans="1:6" s="1" customFormat="1" ht="17.100000000000001" customHeight="1" thickBot="1" x14ac:dyDescent="0.25">
      <c r="A38" s="531" t="s">
        <v>93</v>
      </c>
      <c r="B38" s="532"/>
      <c r="C38" s="533"/>
      <c r="D38" s="120">
        <f>D31+D37</f>
        <v>84979936</v>
      </c>
      <c r="E38" s="121">
        <f t="shared" ref="E38:F38" si="4">E31+E37</f>
        <v>2277874</v>
      </c>
      <c r="F38" s="122">
        <f t="shared" si="4"/>
        <v>87257810</v>
      </c>
    </row>
    <row r="39" spans="1:6" ht="17.100000000000001" customHeight="1" x14ac:dyDescent="0.25"/>
    <row r="40" spans="1:6" ht="17.100000000000001" customHeight="1" x14ac:dyDescent="0.25">
      <c r="A40" s="534"/>
      <c r="B40" s="535"/>
      <c r="C40" s="3"/>
      <c r="D40" s="90"/>
    </row>
    <row r="41" spans="1:6" ht="17.100000000000001" customHeight="1" x14ac:dyDescent="0.3">
      <c r="B41" s="45"/>
    </row>
  </sheetData>
  <mergeCells count="40"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A38:C38"/>
    <mergeCell ref="A40:B40"/>
    <mergeCell ref="E9:E10"/>
    <mergeCell ref="F9:F10"/>
    <mergeCell ref="A11:F11"/>
    <mergeCell ref="A12:F12"/>
    <mergeCell ref="A32:F32"/>
    <mergeCell ref="B34:C34"/>
    <mergeCell ref="B35:C35"/>
    <mergeCell ref="A36:C36"/>
    <mergeCell ref="A37:C37"/>
    <mergeCell ref="A33:F33"/>
    <mergeCell ref="B23:C23"/>
    <mergeCell ref="B24:C24"/>
    <mergeCell ref="A30:C30"/>
    <mergeCell ref="A31:C31"/>
    <mergeCell ref="A1:F1"/>
    <mergeCell ref="A2:F2"/>
    <mergeCell ref="A4:F4"/>
    <mergeCell ref="B17:C17"/>
    <mergeCell ref="B15:C15"/>
    <mergeCell ref="B16:C16"/>
    <mergeCell ref="A9:A10"/>
    <mergeCell ref="B9:C10"/>
    <mergeCell ref="D9:D10"/>
    <mergeCell ref="A5:F5"/>
    <mergeCell ref="A6:F6"/>
    <mergeCell ref="A7:F7"/>
    <mergeCell ref="B13:C13"/>
    <mergeCell ref="B14:C14"/>
  </mergeCells>
  <phoneticPr fontId="34" type="noConversion"/>
  <printOptions horizontalCentered="1"/>
  <pageMargins left="0.19685039370078741" right="0.19685039370078741" top="0" bottom="0" header="0.98425196850393704" footer="0.51181102362204722"/>
  <pageSetup paperSize="9" scale="91" orientation="landscape" r:id="rId1"/>
  <headerFooter alignWithMargins="0"/>
  <rowBreaks count="1" manualBreakCount="1">
    <brk id="31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59999389629810485"/>
  </sheetPr>
  <dimension ref="A1:J34"/>
  <sheetViews>
    <sheetView topLeftCell="A13" zoomScaleNormal="100" workbookViewId="0">
      <selection activeCell="B35" sqref="B35"/>
    </sheetView>
  </sheetViews>
  <sheetFormatPr defaultRowHeight="12.75" x14ac:dyDescent="0.2"/>
  <cols>
    <col min="1" max="1" width="6.42578125" customWidth="1"/>
    <col min="2" max="2" width="116.85546875" customWidth="1"/>
    <col min="3" max="3" width="12.7109375" style="94" customWidth="1"/>
    <col min="4" max="5" width="12.7109375" customWidth="1"/>
    <col min="7" max="8" width="10.140625" bestFit="1" customWidth="1"/>
    <col min="10" max="10" width="10.140625" bestFit="1" customWidth="1"/>
  </cols>
  <sheetData>
    <row r="1" spans="1:10" ht="14.25" x14ac:dyDescent="0.2">
      <c r="A1" s="391" t="s">
        <v>217</v>
      </c>
      <c r="B1" s="391"/>
      <c r="C1" s="391"/>
      <c r="D1" s="391"/>
      <c r="E1" s="391"/>
    </row>
    <row r="2" spans="1:10" ht="14.25" x14ac:dyDescent="0.2">
      <c r="A2" s="391" t="s">
        <v>219</v>
      </c>
      <c r="B2" s="391"/>
      <c r="C2" s="391"/>
      <c r="D2" s="391"/>
      <c r="E2" s="391"/>
    </row>
    <row r="3" spans="1:10" x14ac:dyDescent="0.2">
      <c r="A3" s="563"/>
      <c r="B3" s="563"/>
      <c r="C3" s="563"/>
    </row>
    <row r="4" spans="1:10" ht="15.75" x14ac:dyDescent="0.25">
      <c r="A4" s="382" t="s">
        <v>220</v>
      </c>
      <c r="B4" s="382"/>
      <c r="C4" s="382"/>
      <c r="D4" s="382"/>
      <c r="E4" s="382"/>
    </row>
    <row r="5" spans="1:10" ht="15.75" x14ac:dyDescent="0.25">
      <c r="A5" s="382" t="s">
        <v>184</v>
      </c>
      <c r="B5" s="382"/>
      <c r="C5" s="382"/>
      <c r="D5" s="382"/>
      <c r="E5" s="382"/>
    </row>
    <row r="6" spans="1:10" ht="15.75" x14ac:dyDescent="0.25">
      <c r="A6" s="382" t="s">
        <v>221</v>
      </c>
      <c r="B6" s="382"/>
      <c r="C6" s="382"/>
      <c r="D6" s="382"/>
      <c r="E6" s="382"/>
    </row>
    <row r="7" spans="1:10" ht="15.75" x14ac:dyDescent="0.25">
      <c r="A7" s="562" t="s">
        <v>222</v>
      </c>
      <c r="B7" s="562"/>
      <c r="C7" s="562"/>
      <c r="D7" s="562"/>
      <c r="E7" s="562"/>
    </row>
    <row r="8" spans="1:10" ht="16.5" customHeight="1" thickBot="1" x14ac:dyDescent="0.3">
      <c r="A8" s="401"/>
      <c r="B8" s="401"/>
      <c r="C8" s="401"/>
      <c r="E8" s="14" t="s">
        <v>182</v>
      </c>
    </row>
    <row r="9" spans="1:10" ht="49.5" customHeight="1" thickBot="1" x14ac:dyDescent="0.25">
      <c r="A9" s="102" t="s">
        <v>9</v>
      </c>
      <c r="B9" s="103" t="s">
        <v>185</v>
      </c>
      <c r="C9" s="104" t="s">
        <v>39</v>
      </c>
      <c r="D9" s="105" t="s">
        <v>151</v>
      </c>
      <c r="E9" s="106" t="s">
        <v>106</v>
      </c>
    </row>
    <row r="10" spans="1:10" ht="21.95" customHeight="1" x14ac:dyDescent="0.2">
      <c r="A10" s="566" t="s">
        <v>262</v>
      </c>
      <c r="B10" s="567"/>
      <c r="C10" s="567"/>
      <c r="D10" s="567"/>
      <c r="E10" s="568"/>
    </row>
    <row r="11" spans="1:10" ht="21.95" customHeight="1" x14ac:dyDescent="0.2">
      <c r="A11" s="95" t="s">
        <v>1</v>
      </c>
      <c r="B11" s="250" t="s">
        <v>191</v>
      </c>
      <c r="C11" s="294">
        <v>1905000</v>
      </c>
      <c r="D11" s="295">
        <v>1500000</v>
      </c>
      <c r="E11" s="107">
        <f>C11+D11</f>
        <v>3405000</v>
      </c>
    </row>
    <row r="12" spans="1:10" s="92" customFormat="1" ht="21.95" customHeight="1" x14ac:dyDescent="0.2">
      <c r="A12" s="91" t="s">
        <v>2</v>
      </c>
      <c r="B12" s="97" t="s">
        <v>266</v>
      </c>
      <c r="C12" s="290">
        <v>15995670</v>
      </c>
      <c r="D12" s="292">
        <v>0</v>
      </c>
      <c r="E12" s="107">
        <f t="shared" ref="E12:E19" si="0">C12+D12</f>
        <v>15995670</v>
      </c>
    </row>
    <row r="13" spans="1:10" ht="21.95" customHeight="1" x14ac:dyDescent="0.2">
      <c r="A13" s="91" t="s">
        <v>4</v>
      </c>
      <c r="B13" s="97" t="s">
        <v>267</v>
      </c>
      <c r="C13" s="291">
        <v>52042084</v>
      </c>
      <c r="D13" s="292">
        <v>0</v>
      </c>
      <c r="E13" s="107">
        <f t="shared" si="0"/>
        <v>52042084</v>
      </c>
    </row>
    <row r="14" spans="1:10" s="92" customFormat="1" ht="21.95" customHeight="1" x14ac:dyDescent="0.2">
      <c r="A14" s="91" t="s">
        <v>5</v>
      </c>
      <c r="B14" s="111" t="s">
        <v>203</v>
      </c>
      <c r="C14" s="291">
        <v>10000000</v>
      </c>
      <c r="D14" s="292">
        <v>0</v>
      </c>
      <c r="E14" s="107">
        <f t="shared" si="0"/>
        <v>10000000</v>
      </c>
    </row>
    <row r="15" spans="1:10" s="92" customFormat="1" ht="21.95" customHeight="1" x14ac:dyDescent="0.2">
      <c r="A15" s="91" t="s">
        <v>7</v>
      </c>
      <c r="B15" s="111" t="s">
        <v>268</v>
      </c>
      <c r="C15" s="291">
        <v>16230600</v>
      </c>
      <c r="D15" s="292">
        <v>0</v>
      </c>
      <c r="E15" s="107">
        <f t="shared" si="0"/>
        <v>16230600</v>
      </c>
      <c r="J15" s="300"/>
    </row>
    <row r="16" spans="1:10" ht="21.95" customHeight="1" x14ac:dyDescent="0.2">
      <c r="A16" s="91" t="s">
        <v>28</v>
      </c>
      <c r="B16" s="97" t="s">
        <v>192</v>
      </c>
      <c r="C16" s="290">
        <v>11239500</v>
      </c>
      <c r="D16" s="292">
        <v>0</v>
      </c>
      <c r="E16" s="107">
        <f t="shared" si="0"/>
        <v>11239500</v>
      </c>
      <c r="H16" s="94"/>
    </row>
    <row r="17" spans="1:7" ht="21.95" customHeight="1" x14ac:dyDescent="0.2">
      <c r="A17" s="91" t="s">
        <v>90</v>
      </c>
      <c r="B17" s="97" t="s">
        <v>193</v>
      </c>
      <c r="C17" s="290">
        <v>37287200</v>
      </c>
      <c r="D17" s="292">
        <v>0</v>
      </c>
      <c r="E17" s="107">
        <f t="shared" si="0"/>
        <v>37287200</v>
      </c>
    </row>
    <row r="18" spans="1:7" s="92" customFormat="1" ht="21.95" customHeight="1" x14ac:dyDescent="0.2">
      <c r="A18" s="91" t="s">
        <v>180</v>
      </c>
      <c r="B18" s="97" t="s">
        <v>194</v>
      </c>
      <c r="C18" s="291">
        <v>16637000</v>
      </c>
      <c r="D18" s="293">
        <v>0</v>
      </c>
      <c r="E18" s="107">
        <f t="shared" si="0"/>
        <v>16637000</v>
      </c>
    </row>
    <row r="19" spans="1:7" s="92" customFormat="1" ht="21.95" customHeight="1" x14ac:dyDescent="0.2">
      <c r="A19" s="91" t="s">
        <v>181</v>
      </c>
      <c r="B19" s="97" t="s">
        <v>269</v>
      </c>
      <c r="C19" s="291">
        <v>10000000</v>
      </c>
      <c r="D19" s="293">
        <v>0</v>
      </c>
      <c r="E19" s="107">
        <f t="shared" si="0"/>
        <v>10000000</v>
      </c>
    </row>
    <row r="20" spans="1:7" s="92" customFormat="1" ht="21.95" customHeight="1" x14ac:dyDescent="0.2">
      <c r="A20" s="91" t="s">
        <v>173</v>
      </c>
      <c r="B20" s="97" t="s">
        <v>270</v>
      </c>
      <c r="C20" s="291">
        <v>5000000</v>
      </c>
      <c r="D20" s="293">
        <v>0</v>
      </c>
      <c r="E20" s="107">
        <f t="shared" ref="E20:E22" si="1">C20+D20</f>
        <v>5000000</v>
      </c>
    </row>
    <row r="21" spans="1:7" s="93" customFormat="1" ht="21.95" customHeight="1" x14ac:dyDescent="0.2">
      <c r="A21" s="91" t="s">
        <v>134</v>
      </c>
      <c r="B21" s="111" t="s">
        <v>202</v>
      </c>
      <c r="C21" s="291">
        <v>27483222</v>
      </c>
      <c r="D21" s="293">
        <v>0</v>
      </c>
      <c r="E21" s="107">
        <f t="shared" si="1"/>
        <v>27483222</v>
      </c>
      <c r="G21" s="100"/>
    </row>
    <row r="22" spans="1:7" s="93" customFormat="1" ht="21.95" customHeight="1" x14ac:dyDescent="0.2">
      <c r="A22" s="91" t="s">
        <v>135</v>
      </c>
      <c r="B22" s="111" t="s">
        <v>271</v>
      </c>
      <c r="C22" s="291">
        <v>380000</v>
      </c>
      <c r="D22" s="293">
        <v>0</v>
      </c>
      <c r="E22" s="107">
        <f t="shared" si="1"/>
        <v>380000</v>
      </c>
    </row>
    <row r="23" spans="1:7" s="93" customFormat="1" ht="21.95" customHeight="1" x14ac:dyDescent="0.2">
      <c r="A23" s="91" t="s">
        <v>136</v>
      </c>
      <c r="B23" s="111" t="s">
        <v>272</v>
      </c>
      <c r="C23" s="291">
        <v>1700000</v>
      </c>
      <c r="D23" s="293">
        <v>0</v>
      </c>
      <c r="E23" s="107">
        <f t="shared" ref="E23:E25" si="2">C23+D23</f>
        <v>1700000</v>
      </c>
    </row>
    <row r="24" spans="1:7" s="93" customFormat="1" ht="21.95" customHeight="1" x14ac:dyDescent="0.2">
      <c r="A24" s="91" t="s">
        <v>137</v>
      </c>
      <c r="B24" s="111" t="s">
        <v>204</v>
      </c>
      <c r="C24" s="290">
        <v>1000000</v>
      </c>
      <c r="D24" s="292">
        <v>0</v>
      </c>
      <c r="E24" s="107">
        <f t="shared" si="2"/>
        <v>1000000</v>
      </c>
    </row>
    <row r="25" spans="1:7" s="93" customFormat="1" ht="21.95" customHeight="1" x14ac:dyDescent="0.2">
      <c r="A25" s="296" t="s">
        <v>138</v>
      </c>
      <c r="B25" s="97" t="s">
        <v>187</v>
      </c>
      <c r="C25" s="291">
        <v>0</v>
      </c>
      <c r="D25" s="292">
        <v>2190750</v>
      </c>
      <c r="E25" s="299">
        <f t="shared" si="2"/>
        <v>2190750</v>
      </c>
    </row>
    <row r="26" spans="1:7" s="93" customFormat="1" ht="21.95" customHeight="1" x14ac:dyDescent="0.2">
      <c r="A26" s="296" t="s">
        <v>146</v>
      </c>
      <c r="B26" s="97" t="s">
        <v>273</v>
      </c>
      <c r="C26" s="291">
        <v>0</v>
      </c>
      <c r="D26" s="292">
        <v>30000000</v>
      </c>
      <c r="E26" s="297">
        <f t="shared" ref="E26" si="3">C26+D26</f>
        <v>30000000</v>
      </c>
    </row>
    <row r="27" spans="1:7" s="93" customFormat="1" ht="21.95" customHeight="1" thickBot="1" x14ac:dyDescent="0.25">
      <c r="A27" s="564" t="s">
        <v>263</v>
      </c>
      <c r="B27" s="565"/>
      <c r="C27" s="108">
        <f>SUM(C11:C26)</f>
        <v>206900276</v>
      </c>
      <c r="D27" s="108">
        <f t="shared" ref="D27" si="4">SUM(D11:D26)</f>
        <v>33690750</v>
      </c>
      <c r="E27" s="249">
        <f>SUM(E11:E26)</f>
        <v>240591026</v>
      </c>
    </row>
    <row r="28" spans="1:7" ht="21.95" customHeight="1" thickBot="1" x14ac:dyDescent="0.25">
      <c r="A28" s="569" t="s">
        <v>264</v>
      </c>
      <c r="B28" s="570"/>
      <c r="C28" s="570"/>
      <c r="D28" s="570"/>
      <c r="E28" s="571"/>
    </row>
    <row r="29" spans="1:7" ht="21.95" customHeight="1" x14ac:dyDescent="0.2">
      <c r="A29" s="96" t="s">
        <v>1</v>
      </c>
      <c r="B29" s="114" t="s">
        <v>195</v>
      </c>
      <c r="C29" s="113">
        <v>635000</v>
      </c>
      <c r="D29" s="112">
        <v>1500000</v>
      </c>
      <c r="E29" s="107">
        <f>C29+D29</f>
        <v>2135000</v>
      </c>
    </row>
    <row r="30" spans="1:7" s="93" customFormat="1" ht="21.95" customHeight="1" thickBot="1" x14ac:dyDescent="0.25">
      <c r="A30" s="564" t="s">
        <v>265</v>
      </c>
      <c r="B30" s="565"/>
      <c r="C30" s="108">
        <f>SUM(C29:C29)</f>
        <v>635000</v>
      </c>
      <c r="D30" s="109">
        <f>SUM(D29:D29)</f>
        <v>1500000</v>
      </c>
      <c r="E30" s="110">
        <f>C30+D30</f>
        <v>2135000</v>
      </c>
    </row>
    <row r="31" spans="1:7" ht="21.95" customHeight="1" thickBot="1" x14ac:dyDescent="0.25">
      <c r="A31" s="564" t="s">
        <v>186</v>
      </c>
      <c r="B31" s="565"/>
      <c r="C31" s="108">
        <f>C27+C30</f>
        <v>207535276</v>
      </c>
      <c r="D31" s="109">
        <f>D27+D30</f>
        <v>35190750</v>
      </c>
      <c r="E31" s="110">
        <f>C31+D31</f>
        <v>242726026</v>
      </c>
    </row>
    <row r="32" spans="1:7" ht="21.95" customHeight="1" x14ac:dyDescent="0.2">
      <c r="A32" s="3"/>
      <c r="B32" s="3"/>
    </row>
    <row r="33" spans="5:5" ht="21.95" customHeight="1" x14ac:dyDescent="0.2"/>
    <row r="34" spans="5:5" x14ac:dyDescent="0.2">
      <c r="E34" s="94"/>
    </row>
  </sheetData>
  <mergeCells count="13">
    <mergeCell ref="A31:B31"/>
    <mergeCell ref="A10:E10"/>
    <mergeCell ref="A28:E28"/>
    <mergeCell ref="A27:B27"/>
    <mergeCell ref="A30:B30"/>
    <mergeCell ref="A7:E7"/>
    <mergeCell ref="A3:C3"/>
    <mergeCell ref="A8:C8"/>
    <mergeCell ref="A1:E1"/>
    <mergeCell ref="A2:E2"/>
    <mergeCell ref="A4:E4"/>
    <mergeCell ref="A5:E5"/>
    <mergeCell ref="A6:E6"/>
  </mergeCells>
  <phoneticPr fontId="34" type="noConversion"/>
  <printOptions horizontalCentered="1"/>
  <pageMargins left="0.51181102362204722" right="0.51181102362204722" top="0.35433070866141736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12</vt:i4>
      </vt:variant>
    </vt:vector>
  </HeadingPairs>
  <TitlesOfParts>
    <vt:vector size="21" baseType="lpstr">
      <vt:lpstr>1.</vt:lpstr>
      <vt:lpstr>2.</vt:lpstr>
      <vt:lpstr>3.</vt:lpstr>
      <vt:lpstr>4.</vt:lpstr>
      <vt:lpstr>5.</vt:lpstr>
      <vt:lpstr>6.</vt:lpstr>
      <vt:lpstr>7.</vt:lpstr>
      <vt:lpstr>8.</vt:lpstr>
      <vt:lpstr>9.</vt:lpstr>
      <vt:lpstr>'1.'!Nyomtatási_cím</vt:lpstr>
      <vt:lpstr>'2.'!Nyomtatási_cím</vt:lpstr>
      <vt:lpstr>'3.'!Nyomtatási_cím</vt:lpstr>
      <vt:lpstr>'8.'!Nyomtatási_cím</vt:lpstr>
      <vt:lpstr>'1.'!Nyomtatási_terület</vt:lpstr>
      <vt:lpstr>'2.'!Nyomtatási_terület</vt:lpstr>
      <vt:lpstr>'3.'!Nyomtatási_terület</vt:lpstr>
      <vt:lpstr>'4.'!Nyomtatási_terület</vt:lpstr>
      <vt:lpstr>'5.'!Nyomtatási_terület</vt:lpstr>
      <vt:lpstr>'6.'!Nyomtatási_terület</vt:lpstr>
      <vt:lpstr>'8.'!Nyomtatási_terület</vt:lpstr>
      <vt:lpstr>'9.'!Nyomtatási_terület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Pénzügyi csoport</dc:creator>
  <cp:lastModifiedBy>Mar.Norbert</cp:lastModifiedBy>
  <cp:lastPrinted>2022-05-19T13:12:43Z</cp:lastPrinted>
  <dcterms:created xsi:type="dcterms:W3CDTF">2007-02-22T10:27:43Z</dcterms:created>
  <dcterms:modified xsi:type="dcterms:W3CDTF">2023-05-19T07:30:09Z</dcterms:modified>
</cp:coreProperties>
</file>