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.Norbert\Documents\2023. év\Közgyűlés\2023.09.29\"/>
    </mc:Choice>
  </mc:AlternateContent>
  <xr:revisionPtr revIDLastSave="0" documentId="13_ncr:1_{CE8A6A40-DB62-432F-8611-37F3611299A4}" xr6:coauthVersionLast="47" xr6:coauthVersionMax="47" xr10:uidLastSave="{00000000-0000-0000-0000-000000000000}"/>
  <bookViews>
    <workbookView xWindow="-120" yWindow="-120" windowWidth="29040" windowHeight="15840" tabRatio="841" activeTab="2" xr2:uid="{00000000-000D-0000-FFFF-FFFF00000000}"/>
  </bookViews>
  <sheets>
    <sheet name="1." sheetId="73" r:id="rId1"/>
    <sheet name="2." sheetId="74" r:id="rId2"/>
    <sheet name="3." sheetId="75" r:id="rId3"/>
    <sheet name="4." sheetId="76" r:id="rId4"/>
    <sheet name="5." sheetId="78" r:id="rId5"/>
    <sheet name="6." sheetId="85" r:id="rId6"/>
    <sheet name="7." sheetId="86" r:id="rId7"/>
    <sheet name="8." sheetId="87" r:id="rId8"/>
  </sheets>
  <externalReferences>
    <externalReference r:id="rId9"/>
  </externalReferences>
  <definedNames>
    <definedName name="_xlnm.Print_Titles" localSheetId="0">'1.'!$1:$11</definedName>
    <definedName name="_xlnm.Print_Titles" localSheetId="1">'2.'!$1:$11</definedName>
    <definedName name="_xlnm.Print_Titles" localSheetId="2">'3.'!$1:$11</definedName>
    <definedName name="_xlnm.Print_Titles" localSheetId="4">'5.'!$1:$11</definedName>
    <definedName name="_xlnm.Print_Area" localSheetId="0">'1.'!$A$1:$P$71</definedName>
    <definedName name="_xlnm.Print_Area" localSheetId="1">'2.'!$A$1:$P$71</definedName>
    <definedName name="_xlnm.Print_Area" localSheetId="2">'3.'!$A$1:$P$71</definedName>
    <definedName name="_xlnm.Print_Area" localSheetId="3">'4.'!$A$1:$L$38</definedName>
    <definedName name="_xlnm.Print_Area" localSheetId="4">'5.'!$A$1:$K$77</definedName>
    <definedName name="_xlnm.Print_Area" localSheetId="6">'7.'!$A$1:$F$42</definedName>
  </definedNames>
  <calcPr calcId="181029"/>
</workbook>
</file>

<file path=xl/calcChain.xml><?xml version="1.0" encoding="utf-8"?>
<calcChain xmlns="http://schemas.openxmlformats.org/spreadsheetml/2006/main">
  <c r="I29" i="76" l="1"/>
  <c r="I33" i="76"/>
  <c r="I72" i="78"/>
  <c r="H24" i="78"/>
  <c r="F24" i="78"/>
  <c r="G46" i="78"/>
  <c r="F46" i="78"/>
  <c r="H45" i="78"/>
  <c r="F45" i="78"/>
  <c r="G55" i="78"/>
  <c r="F55" i="78"/>
  <c r="H54" i="78"/>
  <c r="F54" i="78"/>
  <c r="G43" i="78"/>
  <c r="F43" i="78"/>
  <c r="H42" i="78"/>
  <c r="G42" i="78"/>
  <c r="F42" i="78"/>
  <c r="J25" i="76"/>
  <c r="I25" i="76"/>
  <c r="G49" i="78"/>
  <c r="F49" i="78"/>
  <c r="H49" i="78"/>
  <c r="H48" i="78"/>
  <c r="F30" i="87"/>
  <c r="F31" i="87" s="1"/>
  <c r="D31" i="87"/>
  <c r="E31" i="87"/>
  <c r="C31" i="87"/>
  <c r="E33" i="86"/>
  <c r="F32" i="86"/>
  <c r="F31" i="86" l="1"/>
  <c r="F30" i="86" l="1"/>
  <c r="D33" i="86"/>
  <c r="C33" i="86"/>
  <c r="D40" i="86"/>
  <c r="E40" i="86"/>
  <c r="C40" i="86"/>
  <c r="F39" i="86"/>
  <c r="E19" i="85"/>
  <c r="F18" i="85"/>
  <c r="D19" i="85"/>
  <c r="C19" i="85"/>
  <c r="H64" i="74" l="1"/>
  <c r="O40" i="74"/>
  <c r="O31" i="74"/>
  <c r="O32" i="74"/>
  <c r="O23" i="74"/>
  <c r="O15" i="74"/>
  <c r="O66" i="74"/>
  <c r="G27" i="74" l="1"/>
  <c r="O19" i="74"/>
  <c r="O20" i="74"/>
  <c r="O16" i="74"/>
  <c r="G59" i="75"/>
  <c r="O23" i="75"/>
  <c r="O19" i="75"/>
  <c r="O15" i="75"/>
  <c r="G67" i="75"/>
  <c r="F29" i="87"/>
  <c r="F12" i="87"/>
  <c r="F13" i="87"/>
  <c r="F14" i="87"/>
  <c r="F15" i="87"/>
  <c r="F16" i="87"/>
  <c r="F17" i="87"/>
  <c r="F18" i="87"/>
  <c r="F19" i="87"/>
  <c r="F20" i="87"/>
  <c r="F21" i="87"/>
  <c r="F22" i="87"/>
  <c r="F23" i="87"/>
  <c r="F24" i="87"/>
  <c r="F25" i="87"/>
  <c r="F26" i="87"/>
  <c r="F11" i="87"/>
  <c r="D27" i="87"/>
  <c r="D32" i="87" s="1"/>
  <c r="E27" i="87"/>
  <c r="E32" i="87" s="1"/>
  <c r="E41" i="86"/>
  <c r="D41" i="86"/>
  <c r="F38" i="86"/>
  <c r="F37" i="86"/>
  <c r="F14" i="86"/>
  <c r="F15" i="86"/>
  <c r="F16" i="86"/>
  <c r="F17" i="86"/>
  <c r="F18" i="86"/>
  <c r="F19" i="86"/>
  <c r="F20" i="86"/>
  <c r="F21" i="86"/>
  <c r="F22" i="86"/>
  <c r="F23" i="86"/>
  <c r="F24" i="86"/>
  <c r="F25" i="86"/>
  <c r="F26" i="86"/>
  <c r="F27" i="86"/>
  <c r="F28" i="86"/>
  <c r="F13" i="86"/>
  <c r="D34" i="86"/>
  <c r="F13" i="85"/>
  <c r="F14" i="85"/>
  <c r="F15" i="85"/>
  <c r="F16" i="85"/>
  <c r="F17" i="85"/>
  <c r="F12" i="85"/>
  <c r="F19" i="85" l="1"/>
  <c r="D42" i="86"/>
  <c r="F40" i="86"/>
  <c r="F41" i="86" s="1"/>
  <c r="C27" i="87"/>
  <c r="C32" i="87" s="1"/>
  <c r="C41" i="86"/>
  <c r="E34" i="86"/>
  <c r="E42" i="86" s="1"/>
  <c r="C34" i="86"/>
  <c r="F29" i="86"/>
  <c r="J76" i="78"/>
  <c r="I76" i="78"/>
  <c r="H76" i="78"/>
  <c r="G76" i="78"/>
  <c r="F76" i="78"/>
  <c r="G75" i="78"/>
  <c r="J74" i="78"/>
  <c r="I74" i="78"/>
  <c r="H74" i="78"/>
  <c r="G74" i="78"/>
  <c r="F74" i="78"/>
  <c r="K73" i="78"/>
  <c r="K72" i="78"/>
  <c r="K74" i="78" s="1"/>
  <c r="J71" i="78"/>
  <c r="H71" i="78"/>
  <c r="G71" i="78"/>
  <c r="F71" i="78"/>
  <c r="K70" i="78"/>
  <c r="K69" i="78"/>
  <c r="K71" i="78" s="1"/>
  <c r="I69" i="78"/>
  <c r="I71" i="78" s="1"/>
  <c r="J68" i="78"/>
  <c r="H68" i="78"/>
  <c r="G68" i="78"/>
  <c r="F68" i="78"/>
  <c r="K67" i="78"/>
  <c r="I66" i="78"/>
  <c r="I68" i="78" s="1"/>
  <c r="J65" i="78"/>
  <c r="I65" i="78"/>
  <c r="H65" i="78"/>
  <c r="G65" i="78"/>
  <c r="F65" i="78"/>
  <c r="K64" i="78"/>
  <c r="K63" i="78"/>
  <c r="K65" i="78" s="1"/>
  <c r="J62" i="78"/>
  <c r="I62" i="78"/>
  <c r="H62" i="78"/>
  <c r="G62" i="78"/>
  <c r="F62" i="78"/>
  <c r="K61" i="78"/>
  <c r="K60" i="78"/>
  <c r="J59" i="78"/>
  <c r="I59" i="78"/>
  <c r="H59" i="78"/>
  <c r="G59" i="78"/>
  <c r="F59" i="78"/>
  <c r="K58" i="78"/>
  <c r="K57" i="78"/>
  <c r="K59" i="78" s="1"/>
  <c r="J56" i="78"/>
  <c r="I56" i="78"/>
  <c r="G56" i="78"/>
  <c r="K55" i="78"/>
  <c r="H56" i="78"/>
  <c r="F56" i="78"/>
  <c r="J53" i="78"/>
  <c r="I53" i="78"/>
  <c r="G53" i="78"/>
  <c r="F53" i="78"/>
  <c r="K52" i="78"/>
  <c r="H51" i="78"/>
  <c r="H53" i="78" s="1"/>
  <c r="I50" i="78"/>
  <c r="G50" i="78"/>
  <c r="F50" i="78"/>
  <c r="K49" i="78"/>
  <c r="J48" i="78"/>
  <c r="J50" i="78" s="1"/>
  <c r="H50" i="78"/>
  <c r="J47" i="78"/>
  <c r="I47" i="78"/>
  <c r="G47" i="78"/>
  <c r="K46" i="78"/>
  <c r="H47" i="78"/>
  <c r="K45" i="78"/>
  <c r="I44" i="78"/>
  <c r="G44" i="78"/>
  <c r="F44" i="78"/>
  <c r="K43" i="78"/>
  <c r="J42" i="78"/>
  <c r="J44" i="78" s="1"/>
  <c r="H44" i="78"/>
  <c r="J41" i="78"/>
  <c r="I41" i="78"/>
  <c r="H41" i="78"/>
  <c r="G41" i="78"/>
  <c r="F41" i="78"/>
  <c r="K40" i="78"/>
  <c r="K39" i="78"/>
  <c r="K41" i="78" s="1"/>
  <c r="J38" i="78"/>
  <c r="I38" i="78"/>
  <c r="H38" i="78"/>
  <c r="G38" i="78"/>
  <c r="F38" i="78"/>
  <c r="K37" i="78"/>
  <c r="K36" i="78"/>
  <c r="K38" i="78" s="1"/>
  <c r="J35" i="78"/>
  <c r="I35" i="78"/>
  <c r="H35" i="78"/>
  <c r="G35" i="78"/>
  <c r="F35" i="78"/>
  <c r="K34" i="78"/>
  <c r="K33" i="78"/>
  <c r="J32" i="78"/>
  <c r="I32" i="78"/>
  <c r="H32" i="78"/>
  <c r="G32" i="78"/>
  <c r="F32" i="78"/>
  <c r="K31" i="78"/>
  <c r="K30" i="78"/>
  <c r="K32" i="78" s="1"/>
  <c r="J29" i="78"/>
  <c r="I29" i="78"/>
  <c r="H29" i="78"/>
  <c r="G29" i="78"/>
  <c r="F29" i="78"/>
  <c r="K28" i="78"/>
  <c r="K27" i="78"/>
  <c r="K29" i="78" s="1"/>
  <c r="J26" i="78"/>
  <c r="I26" i="78"/>
  <c r="H26" i="78"/>
  <c r="G26" i="78"/>
  <c r="F26" i="78"/>
  <c r="K25" i="78"/>
  <c r="K24" i="78"/>
  <c r="K26" i="78" s="1"/>
  <c r="J23" i="78"/>
  <c r="I23" i="78"/>
  <c r="H23" i="78"/>
  <c r="G23" i="78"/>
  <c r="F23" i="78"/>
  <c r="K22" i="78"/>
  <c r="K21" i="78"/>
  <c r="J20" i="78"/>
  <c r="I20" i="78"/>
  <c r="H20" i="78"/>
  <c r="G20" i="78"/>
  <c r="F20" i="78"/>
  <c r="K19" i="78"/>
  <c r="K18" i="78"/>
  <c r="K20" i="78" s="1"/>
  <c r="J17" i="78"/>
  <c r="I17" i="78"/>
  <c r="H17" i="78"/>
  <c r="G17" i="78"/>
  <c r="F17" i="78"/>
  <c r="K16" i="78"/>
  <c r="K15" i="78"/>
  <c r="K17" i="78" s="1"/>
  <c r="J14" i="78"/>
  <c r="I14" i="78"/>
  <c r="H14" i="78"/>
  <c r="G14" i="78"/>
  <c r="F14" i="78"/>
  <c r="K13" i="78"/>
  <c r="K12" i="78"/>
  <c r="L37" i="76"/>
  <c r="J37" i="76"/>
  <c r="I37" i="76"/>
  <c r="H37" i="76"/>
  <c r="G37" i="76"/>
  <c r="F37" i="76"/>
  <c r="E37" i="76"/>
  <c r="K36" i="76"/>
  <c r="K37" i="76" s="1"/>
  <c r="H36" i="76"/>
  <c r="J34" i="76"/>
  <c r="J38" i="76" s="1"/>
  <c r="F34" i="76"/>
  <c r="F38" i="76" s="1"/>
  <c r="K33" i="76"/>
  <c r="H33" i="76"/>
  <c r="K32" i="76"/>
  <c r="I32" i="76"/>
  <c r="G32" i="76"/>
  <c r="H32" i="76" s="1"/>
  <c r="K31" i="76"/>
  <c r="H31" i="76"/>
  <c r="K30" i="76"/>
  <c r="H30" i="76"/>
  <c r="K29" i="76"/>
  <c r="H29" i="76"/>
  <c r="K28" i="76"/>
  <c r="H28" i="76"/>
  <c r="K27" i="76"/>
  <c r="H27" i="76"/>
  <c r="K26" i="76"/>
  <c r="H26" i="76"/>
  <c r="K25" i="76"/>
  <c r="H25" i="76"/>
  <c r="K24" i="76"/>
  <c r="H24" i="76"/>
  <c r="J23" i="76"/>
  <c r="I23" i="76"/>
  <c r="I34" i="76" s="1"/>
  <c r="I38" i="76" s="1"/>
  <c r="H23" i="76"/>
  <c r="K22" i="76"/>
  <c r="H22" i="76"/>
  <c r="L21" i="76"/>
  <c r="K21" i="76"/>
  <c r="H21" i="76"/>
  <c r="K20" i="76"/>
  <c r="L20" i="76" s="1"/>
  <c r="H20" i="76"/>
  <c r="K19" i="76"/>
  <c r="L19" i="76" s="1"/>
  <c r="H19" i="76"/>
  <c r="K18" i="76"/>
  <c r="H18" i="76"/>
  <c r="L18" i="76" s="1"/>
  <c r="L17" i="76"/>
  <c r="K17" i="76"/>
  <c r="H17" i="76"/>
  <c r="K16" i="76"/>
  <c r="L16" i="76" s="1"/>
  <c r="H16" i="76"/>
  <c r="K15" i="76"/>
  <c r="L15" i="76" s="1"/>
  <c r="H15" i="76"/>
  <c r="K14" i="76"/>
  <c r="E14" i="76"/>
  <c r="E34" i="76" s="1"/>
  <c r="E38" i="76" s="1"/>
  <c r="K13" i="76"/>
  <c r="H13" i="76"/>
  <c r="E13" i="76"/>
  <c r="M40" i="74"/>
  <c r="F33" i="86" l="1"/>
  <c r="F34" i="86" s="1"/>
  <c r="F42" i="86" s="1"/>
  <c r="C42" i="86"/>
  <c r="F27" i="87"/>
  <c r="F32" i="87" s="1"/>
  <c r="G77" i="78"/>
  <c r="K47" i="78"/>
  <c r="K54" i="78"/>
  <c r="K56" i="78" s="1"/>
  <c r="H75" i="78"/>
  <c r="H77" i="78" s="1"/>
  <c r="K76" i="78"/>
  <c r="K23" i="78"/>
  <c r="K35" i="78"/>
  <c r="K62" i="78"/>
  <c r="K42" i="78"/>
  <c r="K44" i="78" s="1"/>
  <c r="F47" i="78"/>
  <c r="K48" i="78"/>
  <c r="K50" i="78" s="1"/>
  <c r="K66" i="78"/>
  <c r="K68" i="78" s="1"/>
  <c r="I75" i="78"/>
  <c r="I77" i="78" s="1"/>
  <c r="K14" i="78"/>
  <c r="K51" i="78"/>
  <c r="K53" i="78" s="1"/>
  <c r="F75" i="78"/>
  <c r="F77" i="78" s="1"/>
  <c r="J75" i="78"/>
  <c r="J77" i="78" s="1"/>
  <c r="L34" i="76"/>
  <c r="L38" i="76" s="1"/>
  <c r="K34" i="76"/>
  <c r="K38" i="76" s="1"/>
  <c r="G34" i="76"/>
  <c r="G38" i="76" s="1"/>
  <c r="H14" i="76"/>
  <c r="H34" i="76" s="1"/>
  <c r="H38" i="76" s="1"/>
  <c r="K23" i="76"/>
  <c r="K75" i="78" l="1"/>
  <c r="K77" i="78" s="1"/>
  <c r="G56" i="74" l="1"/>
  <c r="G44" i="73"/>
  <c r="G23" i="73" l="1"/>
  <c r="G21" i="73"/>
  <c r="O30" i="74" l="1"/>
  <c r="G27" i="73"/>
  <c r="G15" i="73"/>
  <c r="O67" i="73" l="1"/>
  <c r="N67" i="73"/>
  <c r="P67" i="73" s="1"/>
  <c r="M67" i="73"/>
  <c r="M65" i="73" s="1"/>
  <c r="O53" i="73"/>
  <c r="O54" i="73"/>
  <c r="N53" i="73"/>
  <c r="N54" i="73"/>
  <c r="N52" i="73"/>
  <c r="O52" i="73"/>
  <c r="M53" i="73"/>
  <c r="M54" i="73"/>
  <c r="M52" i="73"/>
  <c r="O45" i="73"/>
  <c r="O46" i="73"/>
  <c r="O49" i="73"/>
  <c r="O50" i="73"/>
  <c r="N49" i="73"/>
  <c r="N57" i="73" s="1"/>
  <c r="N50" i="73"/>
  <c r="M49" i="73"/>
  <c r="M50" i="73"/>
  <c r="N48" i="73"/>
  <c r="O48" i="73"/>
  <c r="M48" i="73"/>
  <c r="N45" i="73"/>
  <c r="N46" i="73"/>
  <c r="M45" i="73"/>
  <c r="M46" i="73"/>
  <c r="N44" i="73"/>
  <c r="O44" i="73"/>
  <c r="M44" i="73"/>
  <c r="N35" i="73"/>
  <c r="O32" i="73"/>
  <c r="O33" i="73"/>
  <c r="O34" i="73"/>
  <c r="O35" i="73"/>
  <c r="N32" i="73"/>
  <c r="N33" i="73"/>
  <c r="N34" i="73"/>
  <c r="N31" i="73"/>
  <c r="O31" i="73"/>
  <c r="M32" i="73"/>
  <c r="M33" i="73"/>
  <c r="M34" i="73"/>
  <c r="M35" i="73"/>
  <c r="M31" i="73"/>
  <c r="O28" i="73"/>
  <c r="O29" i="73"/>
  <c r="N28" i="73"/>
  <c r="N29" i="73"/>
  <c r="N27" i="73"/>
  <c r="O27" i="73"/>
  <c r="M28" i="73"/>
  <c r="M29" i="73"/>
  <c r="M27" i="73"/>
  <c r="O25" i="73"/>
  <c r="O24" i="73"/>
  <c r="N24" i="73"/>
  <c r="N25" i="73"/>
  <c r="N23" i="73"/>
  <c r="O23" i="73"/>
  <c r="M24" i="73"/>
  <c r="M25" i="73"/>
  <c r="M23" i="73"/>
  <c r="O20" i="73"/>
  <c r="O21" i="73"/>
  <c r="N20" i="73"/>
  <c r="N21" i="73"/>
  <c r="N19" i="73"/>
  <c r="O19" i="73"/>
  <c r="M20" i="73"/>
  <c r="M21" i="73"/>
  <c r="M19" i="73"/>
  <c r="O16" i="73"/>
  <c r="O17" i="73"/>
  <c r="N16" i="73"/>
  <c r="N17" i="73"/>
  <c r="N15" i="73"/>
  <c r="O15" i="73"/>
  <c r="M16" i="73"/>
  <c r="M17" i="73"/>
  <c r="M15" i="73"/>
  <c r="E71" i="73"/>
  <c r="E70" i="73"/>
  <c r="G67" i="73"/>
  <c r="F67" i="73"/>
  <c r="F66" i="73"/>
  <c r="E66" i="73"/>
  <c r="E67" i="73"/>
  <c r="G66" i="73"/>
  <c r="G53" i="73"/>
  <c r="G54" i="73"/>
  <c r="G52" i="73"/>
  <c r="G49" i="73"/>
  <c r="G50" i="73"/>
  <c r="G48" i="73"/>
  <c r="G47" i="73" s="1"/>
  <c r="G45" i="73"/>
  <c r="G46" i="73"/>
  <c r="F53" i="73"/>
  <c r="F54" i="73"/>
  <c r="H54" i="73" s="1"/>
  <c r="F52" i="73"/>
  <c r="F49" i="73"/>
  <c r="F50" i="73"/>
  <c r="F48" i="73"/>
  <c r="F45" i="73"/>
  <c r="F46" i="73"/>
  <c r="F44" i="73"/>
  <c r="H44" i="73" s="1"/>
  <c r="E53" i="73"/>
  <c r="E54" i="73"/>
  <c r="E52" i="73"/>
  <c r="E49" i="73"/>
  <c r="E50" i="73"/>
  <c r="E48" i="73"/>
  <c r="E45" i="73"/>
  <c r="E46" i="73"/>
  <c r="E44" i="73"/>
  <c r="H66" i="73" l="1"/>
  <c r="N39" i="73"/>
  <c r="M57" i="73"/>
  <c r="G58" i="73"/>
  <c r="H50" i="73"/>
  <c r="H58" i="73" s="1"/>
  <c r="H53" i="73"/>
  <c r="M56" i="73"/>
  <c r="P53" i="73"/>
  <c r="H46" i="73"/>
  <c r="P52" i="73"/>
  <c r="M38" i="73"/>
  <c r="M62" i="73" s="1"/>
  <c r="G43" i="73"/>
  <c r="G42" i="73" s="1"/>
  <c r="M39" i="73"/>
  <c r="O56" i="73"/>
  <c r="O51" i="73"/>
  <c r="G57" i="73"/>
  <c r="H48" i="73"/>
  <c r="M58" i="73"/>
  <c r="F58" i="73"/>
  <c r="O58" i="73"/>
  <c r="F57" i="73"/>
  <c r="H49" i="73"/>
  <c r="N58" i="73"/>
  <c r="N63" i="73" s="1"/>
  <c r="N71" i="73" s="1"/>
  <c r="O57" i="73"/>
  <c r="E56" i="73"/>
  <c r="G51" i="73"/>
  <c r="O39" i="73"/>
  <c r="M51" i="73"/>
  <c r="H52" i="73"/>
  <c r="H56" i="73" s="1"/>
  <c r="N56" i="73"/>
  <c r="N38" i="73"/>
  <c r="N62" i="73" s="1"/>
  <c r="N37" i="73"/>
  <c r="H45" i="73"/>
  <c r="F56" i="73"/>
  <c r="G56" i="73"/>
  <c r="O38" i="73"/>
  <c r="N51" i="73"/>
  <c r="O37" i="73"/>
  <c r="N26" i="73"/>
  <c r="M26" i="73"/>
  <c r="H67" i="73"/>
  <c r="F65" i="73"/>
  <c r="E18" i="75"/>
  <c r="F29" i="73"/>
  <c r="F28" i="73"/>
  <c r="F27" i="73"/>
  <c r="F24" i="73"/>
  <c r="F25" i="73"/>
  <c r="F23" i="73"/>
  <c r="F20" i="73"/>
  <c r="F21" i="73"/>
  <c r="F19" i="73"/>
  <c r="F16" i="73"/>
  <c r="F17" i="73"/>
  <c r="F15" i="73"/>
  <c r="H15" i="73" s="1"/>
  <c r="E28" i="73"/>
  <c r="E29" i="73"/>
  <c r="E27" i="73"/>
  <c r="E24" i="73"/>
  <c r="E25" i="73"/>
  <c r="E23" i="73"/>
  <c r="E20" i="73"/>
  <c r="E21" i="73"/>
  <c r="E19" i="73"/>
  <c r="E16" i="73"/>
  <c r="E17" i="73"/>
  <c r="E15" i="73"/>
  <c r="H57" i="73" l="1"/>
  <c r="M63" i="73"/>
  <c r="F38" i="73"/>
  <c r="E39" i="73"/>
  <c r="G55" i="73"/>
  <c r="E37" i="73"/>
  <c r="N61" i="73"/>
  <c r="N36" i="73"/>
  <c r="E38" i="73"/>
  <c r="F39" i="73"/>
  <c r="F63" i="73" s="1"/>
  <c r="F18" i="73"/>
  <c r="O39" i="75" l="1"/>
  <c r="O38" i="75"/>
  <c r="O37" i="75"/>
  <c r="H67" i="75"/>
  <c r="H66" i="75"/>
  <c r="P65" i="75"/>
  <c r="O65" i="75"/>
  <c r="N65" i="75"/>
  <c r="G65" i="75"/>
  <c r="F65" i="75"/>
  <c r="E65" i="75"/>
  <c r="E63" i="75"/>
  <c r="E62" i="75"/>
  <c r="O58" i="75"/>
  <c r="N58" i="75"/>
  <c r="M58" i="75"/>
  <c r="G58" i="75"/>
  <c r="F58" i="75"/>
  <c r="O57" i="75"/>
  <c r="O62" i="75" s="1"/>
  <c r="O70" i="75" s="1"/>
  <c r="N57" i="75"/>
  <c r="M57" i="75"/>
  <c r="G57" i="75"/>
  <c r="F57" i="75"/>
  <c r="O56" i="75"/>
  <c r="N56" i="75"/>
  <c r="M56" i="75"/>
  <c r="G56" i="75"/>
  <c r="F56" i="75"/>
  <c r="P54" i="75"/>
  <c r="H54" i="75"/>
  <c r="P53" i="75"/>
  <c r="H53" i="75"/>
  <c r="P52" i="75"/>
  <c r="H52" i="75"/>
  <c r="O51" i="75"/>
  <c r="N51" i="75"/>
  <c r="M51" i="75"/>
  <c r="G51" i="75"/>
  <c r="F51" i="75"/>
  <c r="P50" i="75"/>
  <c r="H50" i="75"/>
  <c r="P49" i="75"/>
  <c r="H49" i="75"/>
  <c r="P48" i="75"/>
  <c r="H48" i="75"/>
  <c r="O47" i="75"/>
  <c r="N47" i="75"/>
  <c r="M47" i="75"/>
  <c r="G47" i="75"/>
  <c r="F47" i="75"/>
  <c r="P46" i="75"/>
  <c r="H46" i="75"/>
  <c r="P45" i="75"/>
  <c r="H45" i="75"/>
  <c r="P44" i="75"/>
  <c r="H44" i="75"/>
  <c r="O43" i="75"/>
  <c r="N43" i="75"/>
  <c r="M43" i="75"/>
  <c r="G43" i="75"/>
  <c r="F43" i="75"/>
  <c r="N39" i="75"/>
  <c r="M39" i="75"/>
  <c r="M63" i="75" s="1"/>
  <c r="G39" i="75"/>
  <c r="F39" i="75"/>
  <c r="N38" i="75"/>
  <c r="N62" i="75" s="1"/>
  <c r="N70" i="75" s="1"/>
  <c r="M38" i="75"/>
  <c r="M62" i="75" s="1"/>
  <c r="G38" i="75"/>
  <c r="F38" i="75"/>
  <c r="N37" i="75"/>
  <c r="M37" i="75"/>
  <c r="M61" i="75" s="1"/>
  <c r="G37" i="75"/>
  <c r="F37" i="75"/>
  <c r="E37" i="75"/>
  <c r="E36" i="75" s="1"/>
  <c r="P35" i="75"/>
  <c r="P34" i="75"/>
  <c r="P33" i="75"/>
  <c r="P32" i="75"/>
  <c r="P31" i="75"/>
  <c r="O30" i="75"/>
  <c r="N30" i="75"/>
  <c r="M30" i="75"/>
  <c r="P29" i="75"/>
  <c r="H29" i="75"/>
  <c r="P28" i="75"/>
  <c r="H28" i="75"/>
  <c r="P27" i="75"/>
  <c r="H27" i="75"/>
  <c r="O26" i="75"/>
  <c r="N26" i="75"/>
  <c r="M26" i="75"/>
  <c r="G26" i="75"/>
  <c r="F26" i="75"/>
  <c r="E26" i="75"/>
  <c r="P25" i="75"/>
  <c r="H25" i="75"/>
  <c r="P24" i="75"/>
  <c r="H24" i="75"/>
  <c r="P23" i="75"/>
  <c r="H23" i="75"/>
  <c r="O22" i="75"/>
  <c r="N22" i="75"/>
  <c r="M22" i="75"/>
  <c r="G22" i="75"/>
  <c r="F22" i="75"/>
  <c r="E22" i="75"/>
  <c r="P21" i="75"/>
  <c r="H21" i="75"/>
  <c r="P20" i="75"/>
  <c r="H20" i="75"/>
  <c r="P19" i="75"/>
  <c r="O18" i="75"/>
  <c r="H19" i="75"/>
  <c r="N18" i="75"/>
  <c r="M18" i="75"/>
  <c r="G18" i="75"/>
  <c r="F18" i="75"/>
  <c r="P17" i="75"/>
  <c r="H17" i="75"/>
  <c r="P16" i="75"/>
  <c r="H16" i="75"/>
  <c r="P15" i="75"/>
  <c r="O14" i="75"/>
  <c r="H15" i="75"/>
  <c r="N14" i="75"/>
  <c r="M14" i="75"/>
  <c r="G14" i="75"/>
  <c r="F14" i="75"/>
  <c r="E14" i="75"/>
  <c r="P67" i="74"/>
  <c r="H67" i="74"/>
  <c r="P66" i="74"/>
  <c r="H66" i="74"/>
  <c r="N65" i="74"/>
  <c r="M65" i="74"/>
  <c r="G65" i="74"/>
  <c r="F65" i="74"/>
  <c r="E65" i="74"/>
  <c r="O58" i="74"/>
  <c r="N58" i="74"/>
  <c r="M58" i="74"/>
  <c r="G58" i="74"/>
  <c r="F58" i="74"/>
  <c r="E58" i="74"/>
  <c r="O57" i="74"/>
  <c r="N57" i="74"/>
  <c r="G57" i="74"/>
  <c r="F57" i="74"/>
  <c r="E57" i="74"/>
  <c r="N56" i="74"/>
  <c r="M56" i="74"/>
  <c r="F56" i="74"/>
  <c r="E56" i="74"/>
  <c r="P54" i="74"/>
  <c r="H54" i="74"/>
  <c r="P53" i="74"/>
  <c r="H53" i="74"/>
  <c r="P52" i="74"/>
  <c r="H52" i="74"/>
  <c r="O51" i="74"/>
  <c r="N51" i="74"/>
  <c r="M51" i="74"/>
  <c r="G51" i="74"/>
  <c r="F51" i="74"/>
  <c r="E51" i="74"/>
  <c r="P50" i="74"/>
  <c r="H50" i="74"/>
  <c r="P49" i="74"/>
  <c r="H49" i="74"/>
  <c r="P48" i="74"/>
  <c r="H48" i="74"/>
  <c r="O47" i="74"/>
  <c r="N47" i="74"/>
  <c r="M47" i="74"/>
  <c r="G47" i="74"/>
  <c r="F47" i="74"/>
  <c r="E47" i="74"/>
  <c r="P46" i="74"/>
  <c r="P58" i="74" s="1"/>
  <c r="H46" i="74"/>
  <c r="H58" i="74" s="1"/>
  <c r="P45" i="74"/>
  <c r="P57" i="74" s="1"/>
  <c r="H45" i="74"/>
  <c r="H57" i="74" s="1"/>
  <c r="O43" i="74"/>
  <c r="H44" i="74"/>
  <c r="N43" i="74"/>
  <c r="M43" i="74"/>
  <c r="G43" i="74"/>
  <c r="F43" i="74"/>
  <c r="E43" i="74"/>
  <c r="O39" i="74"/>
  <c r="O63" i="74" s="1"/>
  <c r="O71" i="74" s="1"/>
  <c r="N39" i="74"/>
  <c r="N63" i="74" s="1"/>
  <c r="N71" i="74" s="1"/>
  <c r="G39" i="74"/>
  <c r="F39" i="74"/>
  <c r="F63" i="74" s="1"/>
  <c r="F71" i="74" s="1"/>
  <c r="N38" i="74"/>
  <c r="M38" i="74"/>
  <c r="M62" i="74" s="1"/>
  <c r="M70" i="74" s="1"/>
  <c r="G38" i="74"/>
  <c r="G62" i="74" s="1"/>
  <c r="G70" i="74" s="1"/>
  <c r="F38" i="74"/>
  <c r="N37" i="74"/>
  <c r="M37" i="74"/>
  <c r="G37" i="74"/>
  <c r="F37" i="74"/>
  <c r="E37" i="74"/>
  <c r="E36" i="74" s="1"/>
  <c r="P35" i="74"/>
  <c r="O38" i="74"/>
  <c r="O62" i="74" s="1"/>
  <c r="O70" i="74" s="1"/>
  <c r="P33" i="74"/>
  <c r="P32" i="74"/>
  <c r="N30" i="74"/>
  <c r="M30" i="74"/>
  <c r="P29" i="74"/>
  <c r="H29" i="74"/>
  <c r="P28" i="74"/>
  <c r="H28" i="74"/>
  <c r="P27" i="74"/>
  <c r="H27" i="74"/>
  <c r="O26" i="74"/>
  <c r="N26" i="74"/>
  <c r="G26" i="74"/>
  <c r="F26" i="74"/>
  <c r="E26" i="74"/>
  <c r="P25" i="74"/>
  <c r="H25" i="74"/>
  <c r="P24" i="74"/>
  <c r="H24" i="74"/>
  <c r="O22" i="74"/>
  <c r="H23" i="74"/>
  <c r="N22" i="74"/>
  <c r="M22" i="74"/>
  <c r="G22" i="74"/>
  <c r="F22" i="74"/>
  <c r="E22" i="74"/>
  <c r="P21" i="74"/>
  <c r="H21" i="74"/>
  <c r="P20" i="74"/>
  <c r="H20" i="74"/>
  <c r="P19" i="74"/>
  <c r="H19" i="74"/>
  <c r="O18" i="74"/>
  <c r="N18" i="74"/>
  <c r="M18" i="74"/>
  <c r="G18" i="74"/>
  <c r="F18" i="74"/>
  <c r="P17" i="74"/>
  <c r="H17" i="74"/>
  <c r="P16" i="74"/>
  <c r="H16" i="74"/>
  <c r="O14" i="74"/>
  <c r="H15" i="74"/>
  <c r="G14" i="74"/>
  <c r="N14" i="74"/>
  <c r="M14" i="74"/>
  <c r="F14" i="74"/>
  <c r="E14" i="74"/>
  <c r="O65" i="73"/>
  <c r="N65" i="73"/>
  <c r="P66" i="73"/>
  <c r="G65" i="73"/>
  <c r="E65" i="73"/>
  <c r="N70" i="73"/>
  <c r="F55" i="73"/>
  <c r="P54" i="73"/>
  <c r="F47" i="73"/>
  <c r="P46" i="73"/>
  <c r="E58" i="73"/>
  <c r="P45" i="73"/>
  <c r="E57" i="73"/>
  <c r="F62" i="73"/>
  <c r="P34" i="73"/>
  <c r="G29" i="73"/>
  <c r="G28" i="73"/>
  <c r="F26" i="73"/>
  <c r="G25" i="73"/>
  <c r="H25" i="73" s="1"/>
  <c r="G24" i="73"/>
  <c r="E22" i="73"/>
  <c r="H23" i="73"/>
  <c r="F22" i="73"/>
  <c r="H21" i="73"/>
  <c r="G20" i="73"/>
  <c r="H20" i="73" s="1"/>
  <c r="G19" i="73"/>
  <c r="F37" i="73"/>
  <c r="E18" i="73"/>
  <c r="G17" i="73"/>
  <c r="H17" i="73" s="1"/>
  <c r="G16" i="73"/>
  <c r="E14" i="73"/>
  <c r="F61" i="74" l="1"/>
  <c r="H14" i="75"/>
  <c r="H22" i="75"/>
  <c r="H26" i="75"/>
  <c r="N42" i="75"/>
  <c r="M42" i="75"/>
  <c r="H43" i="74"/>
  <c r="H47" i="74"/>
  <c r="H51" i="74"/>
  <c r="P18" i="75"/>
  <c r="P22" i="75"/>
  <c r="P51" i="75"/>
  <c r="P26" i="74"/>
  <c r="M42" i="74"/>
  <c r="F63" i="75"/>
  <c r="F71" i="75" s="1"/>
  <c r="F71" i="73" s="1"/>
  <c r="P30" i="75"/>
  <c r="H18" i="74"/>
  <c r="H57" i="75"/>
  <c r="P47" i="74"/>
  <c r="P51" i="74"/>
  <c r="H38" i="75"/>
  <c r="N63" i="75"/>
  <c r="N71" i="75" s="1"/>
  <c r="M55" i="75"/>
  <c r="E59" i="75" s="1"/>
  <c r="P26" i="75"/>
  <c r="F42" i="75"/>
  <c r="P65" i="74"/>
  <c r="G61" i="75"/>
  <c r="G69" i="75" s="1"/>
  <c r="O55" i="75"/>
  <c r="O63" i="75"/>
  <c r="O71" i="75" s="1"/>
  <c r="H65" i="74"/>
  <c r="P39" i="75"/>
  <c r="G37" i="73"/>
  <c r="G61" i="73" s="1"/>
  <c r="G69" i="73" s="1"/>
  <c r="G18" i="73"/>
  <c r="O42" i="75"/>
  <c r="P14" i="75"/>
  <c r="P38" i="75"/>
  <c r="P62" i="75" s="1"/>
  <c r="P70" i="75" s="1"/>
  <c r="H43" i="75"/>
  <c r="G63" i="74"/>
  <c r="G71" i="74" s="1"/>
  <c r="G63" i="75"/>
  <c r="G71" i="75" s="1"/>
  <c r="P56" i="75"/>
  <c r="H51" i="75"/>
  <c r="E55" i="74"/>
  <c r="F61" i="75"/>
  <c r="P57" i="75"/>
  <c r="H47" i="75"/>
  <c r="F55" i="75"/>
  <c r="P47" i="75"/>
  <c r="H14" i="74"/>
  <c r="G36" i="74"/>
  <c r="G55" i="74"/>
  <c r="P58" i="75"/>
  <c r="G55" i="75"/>
  <c r="P39" i="74"/>
  <c r="P63" i="74" s="1"/>
  <c r="P71" i="74" s="1"/>
  <c r="F55" i="74"/>
  <c r="H58" i="75"/>
  <c r="H38" i="74"/>
  <c r="H62" i="74" s="1"/>
  <c r="H70" i="74" s="1"/>
  <c r="M55" i="74"/>
  <c r="F13" i="75"/>
  <c r="N36" i="75"/>
  <c r="H56" i="75"/>
  <c r="H55" i="75" s="1"/>
  <c r="H39" i="74"/>
  <c r="F62" i="75"/>
  <c r="F70" i="75" s="1"/>
  <c r="O61" i="75"/>
  <c r="O69" i="75" s="1"/>
  <c r="O68" i="75" s="1"/>
  <c r="F62" i="74"/>
  <c r="F70" i="74" s="1"/>
  <c r="F70" i="73" s="1"/>
  <c r="N42" i="74"/>
  <c r="G42" i="75"/>
  <c r="N55" i="75"/>
  <c r="G26" i="73"/>
  <c r="P18" i="74"/>
  <c r="H26" i="74"/>
  <c r="O13" i="75"/>
  <c r="G13" i="75"/>
  <c r="G22" i="73"/>
  <c r="P24" i="73"/>
  <c r="N47" i="73"/>
  <c r="M22" i="73"/>
  <c r="P27" i="73"/>
  <c r="N22" i="73"/>
  <c r="P15" i="73"/>
  <c r="F36" i="73"/>
  <c r="F61" i="73"/>
  <c r="O26" i="73"/>
  <c r="O22" i="73"/>
  <c r="P31" i="73"/>
  <c r="F51" i="73"/>
  <c r="P51" i="73"/>
  <c r="P49" i="73"/>
  <c r="G38" i="73"/>
  <c r="P20" i="73"/>
  <c r="P21" i="73"/>
  <c r="E47" i="73"/>
  <c r="P17" i="73"/>
  <c r="N30" i="73"/>
  <c r="N18" i="73"/>
  <c r="E43" i="73"/>
  <c r="O18" i="73"/>
  <c r="P33" i="73"/>
  <c r="G14" i="73"/>
  <c r="H16" i="73"/>
  <c r="H14" i="73" s="1"/>
  <c r="P50" i="73"/>
  <c r="P58" i="73" s="1"/>
  <c r="P19" i="73"/>
  <c r="P23" i="73"/>
  <c r="P35" i="73"/>
  <c r="N43" i="73"/>
  <c r="N55" i="73"/>
  <c r="F59" i="73" s="1"/>
  <c r="H51" i="73"/>
  <c r="H24" i="73"/>
  <c r="H22" i="73" s="1"/>
  <c r="P25" i="73"/>
  <c r="P28" i="73"/>
  <c r="P32" i="73"/>
  <c r="M47" i="73"/>
  <c r="F14" i="73"/>
  <c r="F13" i="73" s="1"/>
  <c r="M14" i="73"/>
  <c r="H29" i="73"/>
  <c r="H39" i="73" s="1"/>
  <c r="H63" i="73" s="1"/>
  <c r="H71" i="73" s="1"/>
  <c r="N14" i="73"/>
  <c r="G39" i="73"/>
  <c r="G63" i="73" s="1"/>
  <c r="O47" i="73"/>
  <c r="P16" i="73"/>
  <c r="M71" i="73"/>
  <c r="P48" i="73"/>
  <c r="H19" i="73"/>
  <c r="H18" i="73" s="1"/>
  <c r="P39" i="73"/>
  <c r="F43" i="73"/>
  <c r="E51" i="73"/>
  <c r="N69" i="73"/>
  <c r="N68" i="73" s="1"/>
  <c r="M18" i="73"/>
  <c r="M37" i="73"/>
  <c r="P38" i="73"/>
  <c r="E63" i="73"/>
  <c r="H28" i="73"/>
  <c r="O42" i="74"/>
  <c r="N55" i="74"/>
  <c r="N61" i="74"/>
  <c r="N69" i="74" s="1"/>
  <c r="M61" i="74"/>
  <c r="M60" i="74" s="1"/>
  <c r="F42" i="74"/>
  <c r="E42" i="74"/>
  <c r="H56" i="74"/>
  <c r="H55" i="74" s="1"/>
  <c r="G42" i="74"/>
  <c r="N13" i="74"/>
  <c r="N36" i="74"/>
  <c r="M13" i="74"/>
  <c r="G13" i="74"/>
  <c r="H37" i="74"/>
  <c r="F13" i="74"/>
  <c r="E13" i="74"/>
  <c r="H65" i="75"/>
  <c r="O36" i="75"/>
  <c r="N61" i="75"/>
  <c r="N69" i="75" s="1"/>
  <c r="N68" i="75" s="1"/>
  <c r="P37" i="75"/>
  <c r="N13" i="75"/>
  <c r="M13" i="75"/>
  <c r="H39" i="75"/>
  <c r="H63" i="75" s="1"/>
  <c r="H71" i="75" s="1"/>
  <c r="H18" i="75"/>
  <c r="G36" i="75"/>
  <c r="H37" i="75"/>
  <c r="E61" i="75"/>
  <c r="E60" i="75" s="1"/>
  <c r="E13" i="75"/>
  <c r="M69" i="75"/>
  <c r="M68" i="75" s="1"/>
  <c r="M60" i="75"/>
  <c r="H62" i="75"/>
  <c r="H70" i="75" s="1"/>
  <c r="G62" i="75"/>
  <c r="G70" i="75" s="1"/>
  <c r="G70" i="73" s="1"/>
  <c r="P43" i="75"/>
  <c r="F36" i="75"/>
  <c r="M36" i="75"/>
  <c r="E40" i="75" s="1"/>
  <c r="O37" i="74"/>
  <c r="O13" i="74"/>
  <c r="P31" i="74"/>
  <c r="F69" i="74"/>
  <c r="H63" i="74"/>
  <c r="H71" i="74" s="1"/>
  <c r="P44" i="74"/>
  <c r="O56" i="74"/>
  <c r="O55" i="74" s="1"/>
  <c r="O65" i="74"/>
  <c r="N62" i="74"/>
  <c r="N70" i="74" s="1"/>
  <c r="H22" i="74"/>
  <c r="M36" i="74"/>
  <c r="E61" i="74"/>
  <c r="E69" i="74" s="1"/>
  <c r="P15" i="74"/>
  <c r="P14" i="74" s="1"/>
  <c r="P23" i="74"/>
  <c r="P22" i="74" s="1"/>
  <c r="P34" i="74"/>
  <c r="P38" i="74" s="1"/>
  <c r="P62" i="74" s="1"/>
  <c r="P70" i="74" s="1"/>
  <c r="G61" i="74"/>
  <c r="F36" i="74"/>
  <c r="O14" i="73"/>
  <c r="P29" i="73"/>
  <c r="P44" i="73"/>
  <c r="P57" i="73"/>
  <c r="M30" i="73"/>
  <c r="M43" i="73"/>
  <c r="P65" i="73"/>
  <c r="N60" i="73"/>
  <c r="O30" i="73"/>
  <c r="O43" i="73"/>
  <c r="H27" i="73"/>
  <c r="E26" i="73"/>
  <c r="E13" i="73" s="1"/>
  <c r="E55" i="73"/>
  <c r="H65" i="73"/>
  <c r="H13" i="75" l="1"/>
  <c r="F40" i="75"/>
  <c r="P47" i="73"/>
  <c r="M69" i="74"/>
  <c r="M68" i="74" s="1"/>
  <c r="G59" i="74"/>
  <c r="H42" i="74"/>
  <c r="F59" i="74"/>
  <c r="P13" i="75"/>
  <c r="G40" i="75"/>
  <c r="E59" i="74"/>
  <c r="P63" i="75"/>
  <c r="P71" i="75" s="1"/>
  <c r="P36" i="75"/>
  <c r="F60" i="75"/>
  <c r="H61" i="75"/>
  <c r="H69" i="75" s="1"/>
  <c r="H68" i="75" s="1"/>
  <c r="F59" i="75"/>
  <c r="G60" i="75"/>
  <c r="G71" i="73"/>
  <c r="G68" i="73" s="1"/>
  <c r="H13" i="74"/>
  <c r="F69" i="75"/>
  <c r="F68" i="75" s="1"/>
  <c r="F68" i="74"/>
  <c r="P55" i="75"/>
  <c r="H59" i="75" s="1"/>
  <c r="F60" i="74"/>
  <c r="F42" i="73"/>
  <c r="O60" i="75"/>
  <c r="H42" i="75"/>
  <c r="M61" i="73"/>
  <c r="M69" i="73" s="1"/>
  <c r="M36" i="73"/>
  <c r="E42" i="73"/>
  <c r="P42" i="75"/>
  <c r="G68" i="75"/>
  <c r="F60" i="73"/>
  <c r="F64" i="73" s="1"/>
  <c r="F69" i="73"/>
  <c r="H38" i="73"/>
  <c r="H62" i="73" s="1"/>
  <c r="H70" i="73" s="1"/>
  <c r="N42" i="73"/>
  <c r="O42" i="73"/>
  <c r="O55" i="73"/>
  <c r="G59" i="73" s="1"/>
  <c r="F40" i="73"/>
  <c r="M42" i="73"/>
  <c r="P22" i="73"/>
  <c r="P18" i="73"/>
  <c r="P30" i="73"/>
  <c r="P56" i="73"/>
  <c r="P55" i="73" s="1"/>
  <c r="H37" i="73"/>
  <c r="H61" i="73" s="1"/>
  <c r="H69" i="73" s="1"/>
  <c r="M70" i="73"/>
  <c r="O62" i="73"/>
  <c r="O70" i="73" s="1"/>
  <c r="E62" i="73"/>
  <c r="E36" i="73"/>
  <c r="G13" i="73"/>
  <c r="N13" i="73"/>
  <c r="H43" i="73"/>
  <c r="H47" i="73"/>
  <c r="P63" i="73"/>
  <c r="P71" i="73" s="1"/>
  <c r="P14" i="73"/>
  <c r="P26" i="73"/>
  <c r="H55" i="73"/>
  <c r="M55" i="73"/>
  <c r="E59" i="73" s="1"/>
  <c r="M13" i="73"/>
  <c r="G62" i="73"/>
  <c r="H26" i="73"/>
  <c r="H13" i="73" s="1"/>
  <c r="O63" i="73"/>
  <c r="O71" i="73" s="1"/>
  <c r="H61" i="74"/>
  <c r="H69" i="74" s="1"/>
  <c r="H68" i="74" s="1"/>
  <c r="N60" i="74"/>
  <c r="N68" i="74"/>
  <c r="F40" i="74"/>
  <c r="H36" i="74"/>
  <c r="N60" i="75"/>
  <c r="P61" i="75"/>
  <c r="P60" i="75" s="1"/>
  <c r="H36" i="75"/>
  <c r="E69" i="75"/>
  <c r="E68" i="75" s="1"/>
  <c r="E64" i="75"/>
  <c r="O61" i="74"/>
  <c r="O36" i="74"/>
  <c r="P30" i="74"/>
  <c r="P13" i="74" s="1"/>
  <c r="P37" i="74"/>
  <c r="P43" i="74"/>
  <c r="P42" i="74" s="1"/>
  <c r="P56" i="74"/>
  <c r="P55" i="74" s="1"/>
  <c r="H59" i="74" s="1"/>
  <c r="G60" i="74"/>
  <c r="G69" i="74"/>
  <c r="G68" i="74" s="1"/>
  <c r="E60" i="74"/>
  <c r="E64" i="74" s="1"/>
  <c r="E68" i="74"/>
  <c r="P62" i="73"/>
  <c r="P70" i="73" s="1"/>
  <c r="P43" i="73"/>
  <c r="O36" i="73"/>
  <c r="P36" i="73" s="1"/>
  <c r="P37" i="73"/>
  <c r="O61" i="73"/>
  <c r="G36" i="73"/>
  <c r="O13" i="73"/>
  <c r="E61" i="73"/>
  <c r="E69" i="73" s="1"/>
  <c r="H60" i="75" l="1"/>
  <c r="P42" i="73"/>
  <c r="F64" i="75"/>
  <c r="O40" i="73"/>
  <c r="E40" i="73"/>
  <c r="H40" i="75"/>
  <c r="G64" i="75"/>
  <c r="F64" i="74"/>
  <c r="H68" i="73"/>
  <c r="P61" i="73"/>
  <c r="P69" i="73" s="1"/>
  <c r="P68" i="73" s="1"/>
  <c r="M60" i="73"/>
  <c r="M68" i="73"/>
  <c r="P13" i="73"/>
  <c r="H42" i="73"/>
  <c r="H59" i="73"/>
  <c r="H36" i="73"/>
  <c r="H40" i="73" s="1"/>
  <c r="H60" i="74"/>
  <c r="P69" i="75"/>
  <c r="P68" i="75" s="1"/>
  <c r="H64" i="75"/>
  <c r="P36" i="74"/>
  <c r="H40" i="74" s="1"/>
  <c r="P61" i="74"/>
  <c r="O69" i="74"/>
  <c r="O68" i="74" s="1"/>
  <c r="O60" i="74"/>
  <c r="O64" i="74" s="1"/>
  <c r="G60" i="73"/>
  <c r="O69" i="73"/>
  <c r="O68" i="73" s="1"/>
  <c r="O60" i="73"/>
  <c r="E60" i="73"/>
  <c r="P60" i="73" l="1"/>
  <c r="E64" i="73"/>
  <c r="H60" i="73"/>
  <c r="P69" i="74"/>
  <c r="P68" i="74" s="1"/>
  <c r="P60" i="74"/>
  <c r="H64" i="73" l="1"/>
  <c r="F68" i="73"/>
  <c r="E68" i="73"/>
</calcChain>
</file>

<file path=xl/sharedStrings.xml><?xml version="1.0" encoding="utf-8"?>
<sst xmlns="http://schemas.openxmlformats.org/spreadsheetml/2006/main" count="1143" uniqueCount="270">
  <si>
    <t>I.</t>
  </si>
  <si>
    <t>1.</t>
  </si>
  <si>
    <t>2.</t>
  </si>
  <si>
    <t>II.</t>
  </si>
  <si>
    <t>3.</t>
  </si>
  <si>
    <t>Közhatalmi bevételek</t>
  </si>
  <si>
    <t>Ellátottak pénzbeli juttatásai</t>
  </si>
  <si>
    <t>Kötelező feladatok</t>
  </si>
  <si>
    <t>Állami (államigazgatási) feladatok</t>
  </si>
  <si>
    <t xml:space="preserve">Önként vállalt feladatok </t>
  </si>
  <si>
    <t>Egyéb működési célú kiadások</t>
  </si>
  <si>
    <t>Beruházások</t>
  </si>
  <si>
    <t>Felújítások</t>
  </si>
  <si>
    <t xml:space="preserve">Személyi juttatások </t>
  </si>
  <si>
    <t>Működési költségvetési kiadások összesen</t>
  </si>
  <si>
    <t>Felhalmozási költségvetési kiadások összesen</t>
  </si>
  <si>
    <t>Munkaadókat terhelő jár. és szoc. hozzájárulási adó</t>
  </si>
  <si>
    <t>Működési költségvetési kiadások</t>
  </si>
  <si>
    <t>Felhalmozási költségvetési kiadások</t>
  </si>
  <si>
    <t>Működési költségvetési bevételek összesen</t>
  </si>
  <si>
    <t>Felhalmozási költségvetési bevételek</t>
  </si>
  <si>
    <t>Felhalmozási bevételek</t>
  </si>
  <si>
    <t>Felhalmozási költségvetési bevételek összesen</t>
  </si>
  <si>
    <t xml:space="preserve"> költségvetési mérleg</t>
  </si>
  <si>
    <t>Önkormányzat bevételei mindösszesen</t>
  </si>
  <si>
    <t>Önkormányzat kiadásai mindösszesen</t>
  </si>
  <si>
    <t>Dologi kiadások</t>
  </si>
  <si>
    <t>Működési bevételek</t>
  </si>
  <si>
    <t>Eredeti előirányzat</t>
  </si>
  <si>
    <t>I+II.</t>
  </si>
  <si>
    <t>Költségvetési bevételek összesen</t>
  </si>
  <si>
    <t>Finanszírozási bevételek összesen</t>
  </si>
  <si>
    <t>Költségvetési kiadások összesen</t>
  </si>
  <si>
    <t>III.</t>
  </si>
  <si>
    <t>I-III</t>
  </si>
  <si>
    <t xml:space="preserve">Működési költségvetési bevételek </t>
  </si>
  <si>
    <t xml:space="preserve">I. MŰKÖDÉSI KÖLTSÉGVETÉS </t>
  </si>
  <si>
    <t>Bevételi előirányzatok</t>
  </si>
  <si>
    <t>Kiadási előirányzatok</t>
  </si>
  <si>
    <t>(bevételi előirányzatok és kiadási előirányzatok kiemelt előirányzatok szerinti bontásban)</t>
  </si>
  <si>
    <t xml:space="preserve">II. FELHALMOZÁSI KÖLTSÉGVETÉS </t>
  </si>
  <si>
    <t>Működési célú átvett pénzeszközök</t>
  </si>
  <si>
    <t>Működési célú támogatások államháztartáson belülről</t>
  </si>
  <si>
    <t>Felhalmozási célú átvett pénzeszközök</t>
  </si>
  <si>
    <t>Finanszírozási kiadások összesen</t>
  </si>
  <si>
    <t>K1</t>
  </si>
  <si>
    <t>K2</t>
  </si>
  <si>
    <t>K3</t>
  </si>
  <si>
    <t>K4</t>
  </si>
  <si>
    <t>K5</t>
  </si>
  <si>
    <t>B1</t>
  </si>
  <si>
    <t>K6</t>
  </si>
  <si>
    <t>K7</t>
  </si>
  <si>
    <t>K8</t>
  </si>
  <si>
    <t>Egyéb felhalmozási célú kiadások</t>
  </si>
  <si>
    <t>K6+K7+K8</t>
  </si>
  <si>
    <t>K9</t>
  </si>
  <si>
    <t>K1-K9</t>
  </si>
  <si>
    <t>B1-B8</t>
  </si>
  <si>
    <t>Költségvetési bevételek és kiadások egyenlege (hiány)</t>
  </si>
  <si>
    <t>Költségvetési bevételek és kiadások egyenlege (többlet)</t>
  </si>
  <si>
    <t>B8</t>
  </si>
  <si>
    <t>B2</t>
  </si>
  <si>
    <t>B3</t>
  </si>
  <si>
    <t>B4</t>
  </si>
  <si>
    <t>B5</t>
  </si>
  <si>
    <t>B6</t>
  </si>
  <si>
    <t>B7</t>
  </si>
  <si>
    <t xml:space="preserve">K1+K2+K3+K4+K5   </t>
  </si>
  <si>
    <t xml:space="preserve">B1+B3+B4+B6                   </t>
  </si>
  <si>
    <t>B2+B5+B7</t>
  </si>
  <si>
    <t>K1-K8</t>
  </si>
  <si>
    <t>B1-B7</t>
  </si>
  <si>
    <t>Maradvány igénybevétele</t>
  </si>
  <si>
    <t>Államháztartáson belüli megelőlegezések</t>
  </si>
  <si>
    <t>Államháztartáson belüli megelőlegezés visszafizetése</t>
  </si>
  <si>
    <t>Irányító szervi támogatás folyósítása</t>
  </si>
  <si>
    <t>EI.Csop.</t>
  </si>
  <si>
    <t>Kiem.EI.</t>
  </si>
  <si>
    <t>1.a</t>
  </si>
  <si>
    <t>1.b</t>
  </si>
  <si>
    <t xml:space="preserve">    - ebből általános tartalék</t>
  </si>
  <si>
    <t xml:space="preserve">    - ebből céltartalék</t>
  </si>
  <si>
    <t>Költségvetési működési bevételek és kiadások egyenlege (hiány)</t>
  </si>
  <si>
    <t>Költségvetési működési bevételek és kiadások egyenlege (többlet)</t>
  </si>
  <si>
    <t>Költségvetési felhalmozási bevételek és kiadások egyenlege (hiány)</t>
  </si>
  <si>
    <t>Költségvetési felhalmozási bevételek és kiadások egyenlege (többlet)</t>
  </si>
  <si>
    <t>Jelenlegi módosítás</t>
  </si>
  <si>
    <t>Módosított előírányzat</t>
  </si>
  <si>
    <t>összevont költségvetési mérleg</t>
  </si>
  <si>
    <t>Önkormányzati Hivatal bevételei mindösszesen</t>
  </si>
  <si>
    <t>Önkormányzati Hivatal kiadásai mindösszesen</t>
  </si>
  <si>
    <t>( Ft)</t>
  </si>
  <si>
    <t>Felhalmozási célú támogatások államháztartáson belülről</t>
  </si>
  <si>
    <t>beruházások, felújítások kiadásai beruházásonként</t>
  </si>
  <si>
    <t>(Ft)</t>
  </si>
  <si>
    <t>Sorszám</t>
  </si>
  <si>
    <t>F   e  l  a  d  a t</t>
  </si>
  <si>
    <t>Módosított előirányzat</t>
  </si>
  <si>
    <t>Kis- és nagyértékű tárgyi eszközök, informatikai eszközök, irodai bútorok beszerzése</t>
  </si>
  <si>
    <t>Hajdúböszörmény - Hajdúvid - Hajdúdorog kerékpárút engedélyes és kiviteli terve</t>
  </si>
  <si>
    <t>4.</t>
  </si>
  <si>
    <t>5.</t>
  </si>
  <si>
    <t>6.</t>
  </si>
  <si>
    <t>Magyar Szürkék Útja pályázat műszaki ellenőri költség</t>
  </si>
  <si>
    <t>7.</t>
  </si>
  <si>
    <t>8.</t>
  </si>
  <si>
    <t>9.</t>
  </si>
  <si>
    <t>10.</t>
  </si>
  <si>
    <t>11.</t>
  </si>
  <si>
    <t>12.</t>
  </si>
  <si>
    <t>13.</t>
  </si>
  <si>
    <t>14.</t>
  </si>
  <si>
    <t>Foglalkoztatási Paktum Plusz pályázat eszközbeszerzés (tárgyi, informatikai eszközök, immateriális javak)</t>
  </si>
  <si>
    <t>15.</t>
  </si>
  <si>
    <t>Együtt, közösségben Hajdú-Biharban pályázat eszközbeszerzés</t>
  </si>
  <si>
    <t>16.</t>
  </si>
  <si>
    <t>Europe Direct pályázat eszközbeszerzés</t>
  </si>
  <si>
    <t>Kis- és nagyértékű tárgyi eszközök, informatikai eszközök, irodabútorok beszerzése</t>
  </si>
  <si>
    <t>Felhalmozási kiadások mindösszesen</t>
  </si>
  <si>
    <t>17.</t>
  </si>
  <si>
    <t>18.</t>
  </si>
  <si>
    <t>19.</t>
  </si>
  <si>
    <t>20.</t>
  </si>
  <si>
    <t>21.</t>
  </si>
  <si>
    <t>európai uniós forrásból finanszírozott támogatással megvalósuló projektek kiadásai - részletes költségvetés</t>
  </si>
  <si>
    <t>Pályázat</t>
  </si>
  <si>
    <t>Kiadások</t>
  </si>
  <si>
    <t>Címe</t>
  </si>
  <si>
    <t>Azonosító</t>
  </si>
  <si>
    <t>Intenzitás</t>
  </si>
  <si>
    <t>Költségvetés</t>
  </si>
  <si>
    <t>Kiemelt előirányzat</t>
  </si>
  <si>
    <t>Személyi</t>
  </si>
  <si>
    <t>Járulék</t>
  </si>
  <si>
    <t>Dologi</t>
  </si>
  <si>
    <t>Támogatás, tartalék</t>
  </si>
  <si>
    <t>Beruházás</t>
  </si>
  <si>
    <t>Összesen</t>
  </si>
  <si>
    <t>Önkormányzat</t>
  </si>
  <si>
    <t>Hivatal</t>
  </si>
  <si>
    <t>RENATUR</t>
  </si>
  <si>
    <t>PGI05798</t>
  </si>
  <si>
    <t>SinCE-AFC</t>
  </si>
  <si>
    <t>PGI05967</t>
  </si>
  <si>
    <t>Europe Direct Hajdú-Bihar</t>
  </si>
  <si>
    <t>Foglalkoztatási Paktum</t>
  </si>
  <si>
    <t>TOP-5.1.1-15-HB1-2016-00001</t>
  </si>
  <si>
    <t>Magyar Szürkék Útja</t>
  </si>
  <si>
    <t>TOP-1.2.1-15-HB1-2016-00020</t>
  </si>
  <si>
    <t>Hajdú hagyományok nyomában</t>
  </si>
  <si>
    <t>TOP-5.3.2-17-HB1-2018-00001</t>
  </si>
  <si>
    <t>2021-27 tervezés előkészítése</t>
  </si>
  <si>
    <t>TOP-1.5.1-20-2020-00013</t>
  </si>
  <si>
    <t>EFOP - Hajdúböszörmény</t>
  </si>
  <si>
    <t>EFOP-1.5.3-16-2017-00014</t>
  </si>
  <si>
    <t>EFOP - Püspökladány</t>
  </si>
  <si>
    <t>EFOP-1.5.3-16-2017-00017</t>
  </si>
  <si>
    <t>EFOP - Hajdúnánás</t>
  </si>
  <si>
    <t>EFOP-1.5.3-16-2017-00021</t>
  </si>
  <si>
    <t>EFOP - Csökmő</t>
  </si>
  <si>
    <t>EFOP-1.5.3-16-2017-00023</t>
  </si>
  <si>
    <t>EFOP - Esztár</t>
  </si>
  <si>
    <t>EFOP-1.5.3-16-2017-00058</t>
  </si>
  <si>
    <t>EFOP-Berettyóújfalu</t>
  </si>
  <si>
    <t>EFOP-1.5.3-16-2017-00057</t>
  </si>
  <si>
    <t>Mindösszesen</t>
  </si>
  <si>
    <t>Önerő</t>
  </si>
  <si>
    <t>európai uniós forrásból finanszírozott támogatással megvalósuló projektek bevételei és kiadásai</t>
  </si>
  <si>
    <t>Bevétel</t>
  </si>
  <si>
    <t>Kiadás</t>
  </si>
  <si>
    <t>Működési</t>
  </si>
  <si>
    <t>Felhal-mozási</t>
  </si>
  <si>
    <t>Maradvány igénybevétel</t>
  </si>
  <si>
    <t xml:space="preserve">Működési </t>
  </si>
  <si>
    <t>EU-s forrásból</t>
  </si>
  <si>
    <t>SOCRATES</t>
  </si>
  <si>
    <t>Foglalkoztatási Paktum Plusz</t>
  </si>
  <si>
    <t>TOP_PLUSZ-3.1.1-21-HB1-2022-00001</t>
  </si>
  <si>
    <t>Együtt, közösségben Hajdú-Biharban</t>
  </si>
  <si>
    <t>TOP-5.3.2-17-HB1-2021-00002</t>
  </si>
  <si>
    <t>4. melléklet a .../2023. (...) önkormányzati rendelethez</t>
  </si>
  <si>
    <t>5. melléklet a .../2023. (...) önkormányzati rendelethez</t>
  </si>
  <si>
    <t>6. melléklet a .../2023. (...) önkormányzati rendelethez</t>
  </si>
  <si>
    <t>7. melléklet a .../2023. (...) önkormányzati rendelethez</t>
  </si>
  <si>
    <t>1. melléklet a  .../2023. (...) önkormányzati rendelethez</t>
  </si>
  <si>
    <t>(1. melléklet a 3/2023. (II. 27.) önkormányzati rendelethez)</t>
  </si>
  <si>
    <t>Hajdú-Bihar Vármegye Önkormányzata</t>
  </si>
  <si>
    <t>2023. évi költségvetés módosítása</t>
  </si>
  <si>
    <t>2023. szeptember 29.</t>
  </si>
  <si>
    <t>3. melléklet a  .../2023. (...) önkormányzati rendelethez</t>
  </si>
  <si>
    <t>(3. melléklet a 3/2023. (II. 27.) önkormányzati rendelethez)</t>
  </si>
  <si>
    <t>Hajdú-Bihar Vármegyei Önkormányzati Hivatal</t>
  </si>
  <si>
    <t>2. melléklet a  .../2023. (...) önkormányzati rendelethez</t>
  </si>
  <si>
    <t>(2. melléklet a 3/2023. (II. 27.) önkormányzati rendelethez)</t>
  </si>
  <si>
    <t>(4. melléklet az 3/2023. (II. 27.) önkormányzati rendelethez)</t>
  </si>
  <si>
    <t>Hajdú-Bihar Vármegye Önkormányzata európai uniós projektjei</t>
  </si>
  <si>
    <t>EXPRESS</t>
  </si>
  <si>
    <t>01C0136</t>
  </si>
  <si>
    <t>GOCORE</t>
  </si>
  <si>
    <t>01C0041</t>
  </si>
  <si>
    <t>SYSTOUR</t>
  </si>
  <si>
    <t>01C0279</t>
  </si>
  <si>
    <t>WEEEWaste</t>
  </si>
  <si>
    <t>01C0027</t>
  </si>
  <si>
    <t>More than a village</t>
  </si>
  <si>
    <t>CE0100085</t>
  </si>
  <si>
    <t>Hajdú-Bihar Vármegye Önkormányzata európai uniós projektjei összesen</t>
  </si>
  <si>
    <t>Hajdú-Bihar Vármegyei Önkormányzati Hivatal európai uniós projektjei</t>
  </si>
  <si>
    <t>Hajdú-Bihar Vármegyei Önkormányzati Hivatal európai uniós projektjei összesen</t>
  </si>
  <si>
    <t>(6. melléklet az 3/2023. (II. 27.) önkormányzati rendelethez)</t>
  </si>
  <si>
    <t>(7. melléklet a 3/2023. (II. 27.) önkormányzati rendelethez)</t>
  </si>
  <si>
    <t>önként vállalt feladatai</t>
  </si>
  <si>
    <t>Feladat megnevezése</t>
  </si>
  <si>
    <t>Elnöki hatáskörben felhasználható keret kiemelt közoktatási, kulturális, közművelődési és sportfeladatokra</t>
  </si>
  <si>
    <t>Megyei Önkormányzatok Országos Szövetsége tagdíj</t>
  </si>
  <si>
    <t>Tisza-Tó Térségi Fejlesztési Tanács tagdíj</t>
  </si>
  <si>
    <t>Hajdú-Bihar Megyei Vásárszövetség tagdíj</t>
  </si>
  <si>
    <t>Elismerésekkel, kitüntetésekkel járó pénzjutalom</t>
  </si>
  <si>
    <t>Jogi, Ügyrendi és Társadalmi Kapcsolatok Bizottsága hatáskörében felhasználható keret</t>
  </si>
  <si>
    <t>Önként vállalt feladatok összesen</t>
  </si>
  <si>
    <t>8. melléklet a .../2023. (...) önkormányzati rendelethez</t>
  </si>
  <si>
    <t>(8. melléklet a 3/2023. (II. 27.) önkormányzati rendelethez)</t>
  </si>
  <si>
    <t>működési célú támogatások államháztartáson belülre és kívülre</t>
  </si>
  <si>
    <t>Kötelező feladat</t>
  </si>
  <si>
    <t>Működési célú támogatások államháztartáson belülre</t>
  </si>
  <si>
    <t>Hajdú-Bihar Vármegye Cigány Területi Nemzetiségi Önkormányzata támogatása</t>
  </si>
  <si>
    <t>Hajdú-Bihar Vármegye Román Területi Nemzetiségi Önkormányzata támogatása</t>
  </si>
  <si>
    <t>Pénzügyminisztérium - OUR WAY pályázat megelőlegezési támogatásának visszautalása</t>
  </si>
  <si>
    <t>Pénzügyminisztérium - OUR WAY pályázat fel nem használt hazai társfinanszírozási támogatásának visszautalása</t>
  </si>
  <si>
    <t>Pénzügyminisztérium - DelFin pályázat megelőlegezési támogatásának visszautalása</t>
  </si>
  <si>
    <t>Pénzügyminisztérium - DelFin pályázat fel nem használt hazai társfinanszírozási támogatásának visszautalása</t>
  </si>
  <si>
    <t>Pénzügyminisztérium - Healing Places pályázat megelőlegezési támogatásának visszautalása</t>
  </si>
  <si>
    <t>Pénzügyminisztérium - Healing Places pályázat fel nem használt hazai társfinanszírozási támogatásának visszautalása</t>
  </si>
  <si>
    <t>Pénzügyminisztérium - SinCE-AFC pályázat megelőlegezési támogatásának visszautalása</t>
  </si>
  <si>
    <t>Pénzügyminisztérium - SinCE-AFC pályázat fel nem használt hazai társfinanszírozási támogatásának visszautalása</t>
  </si>
  <si>
    <t>Pénzügyminisztérium - RENATUR pályázat megelőlegezési támogatásának visszautalása</t>
  </si>
  <si>
    <t>Pénzügyminisztérium - RENATUR pályázat fel nem használt hazai társfinanszírozási támogatásának visszautalása</t>
  </si>
  <si>
    <t>Miniszterelnökség - EFOP-1.5.3 Csökmő pályázat támogatási előleg visszautalása támogatás átadása miatt (Csökmő)</t>
  </si>
  <si>
    <t>Miniszterelnökség - EFOP-1.5.3 Csökmő pályázat fel nem használt támogatás visszautalása</t>
  </si>
  <si>
    <t>Miniszterelnökség - EFOP-1.5.3 Hajdúböszörmény pályázat fel nem használt támogatás visszautalása</t>
  </si>
  <si>
    <t>Miniszterelnökség - EFOP-1.5.3 Esztár pályázat fel nem használt támogatás visszautalása</t>
  </si>
  <si>
    <t>Miniszterelnökség - EFOP-1.5.3 Berettyóújfalu pályázat fel nem használt támogatás visszautalása</t>
  </si>
  <si>
    <t>Működési célú támogatások államháztartáson belülre kötelező feladatra összesen</t>
  </si>
  <si>
    <t>Kötelező feladat összesen</t>
  </si>
  <si>
    <t>Önként vállalt feladat</t>
  </si>
  <si>
    <t>Működési célú támogatások államháztartáson kívülre</t>
  </si>
  <si>
    <t>Működési célú támogatások államháztartáson kívülre önként vállalt feladatra összesen</t>
  </si>
  <si>
    <t>Kötelező és önként vállalt feladat összesen</t>
  </si>
  <si>
    <t>(9. melléklet a 3/2023. (II. 27.) önkormányzati rendelethez)</t>
  </si>
  <si>
    <t>Hajdú-Bihar Vármegye Önkormányzata felhalmozási kiadások</t>
  </si>
  <si>
    <t>Magyar Szürkék Útja pályázat eszközbeszerzés (rendezvénytechnikai eszköz)</t>
  </si>
  <si>
    <t xml:space="preserve">Hajdú hagyományok nyomában pályázat eszközbeszerzés </t>
  </si>
  <si>
    <t>Együtt, közösségben Hajdú-Biharban pályázat Hajdú-Bihar vármegyei értékeket bemutató kiadvány kézirata</t>
  </si>
  <si>
    <t xml:space="preserve">Hajdúböszörmény - Debrecen (Józsa) kerékpárút engedélyes terve </t>
  </si>
  <si>
    <t>2021-27 tervezés előkészítése pályázat  környezeti hatástanulmányok készítése</t>
  </si>
  <si>
    <t>2021-27 tervezés előkészítése pályázat eszközbeszerzés</t>
  </si>
  <si>
    <t>2021-27 tervezés előkészítése pályázat Piac 71. energetika és belső átalakítás tervezési díj</t>
  </si>
  <si>
    <t>EXPRESS pályázat eszközbeszerzés</t>
  </si>
  <si>
    <t>More than a village pályázat eszközbeszerzés</t>
  </si>
  <si>
    <t>Személygépjármű beszerzés (2 db)</t>
  </si>
  <si>
    <t>Hajdú-Bihar Vármegye Önkormányzata felhalmozási kiadások összesen</t>
  </si>
  <si>
    <t>Hajdú-Bihar Vármegyei Önkormányzati Hivatal felhalmozási kiadások</t>
  </si>
  <si>
    <t>Hajdú-Bihar Vármegyei Önkormányzati Hivatal felhalmozási kiadások összesen</t>
  </si>
  <si>
    <t>Vármegye Napja rendezvény</t>
  </si>
  <si>
    <t>Miniszterelnökség - EFOP-1.5.3 Püspökladány pályázat fel nem használt támogatás visszautalása</t>
  </si>
  <si>
    <t>Aktív- és Ökoturisztikai Fejlesztési Központ NKft. - "A térségi jelentőségű kerékpárutak tervezése - Hajdú-Bihar Megye" pályázat fel nem használt támogatás visszautalása</t>
  </si>
  <si>
    <t>Bethlen Gábor Alapkezelő - "Nemzetköziesedés - Hajdú-Bihar és Hargita megye önkormányzatai együttműködési területeinek bővítése" pályázat fel nem használt támogatás visszautalása</t>
  </si>
  <si>
    <t>22.</t>
  </si>
  <si>
    <t>2021-27 tervezés előkészítése pályázat eszközbeszerzés (mobiltelefonok)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</si>
</sst>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\-#,##0\ "/>
    <numFmt numFmtId="165" formatCode="0.0%"/>
  </numFmts>
  <fonts count="3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 CE"/>
      <charset val="238"/>
    </font>
    <font>
      <i/>
      <sz val="11"/>
      <name val="Times New Roman"/>
      <family val="1"/>
      <charset val="238"/>
    </font>
    <font>
      <sz val="14"/>
      <color indexed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9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1"/>
      <name val="Times New Roman"/>
      <family val="1"/>
      <charset val="238"/>
    </font>
    <font>
      <sz val="11.5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.5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4"/>
      <name val="Times New Roman"/>
      <family val="1"/>
      <charset val="238"/>
    </font>
    <font>
      <sz val="18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"/>
      <family val="1"/>
    </font>
    <font>
      <b/>
      <sz val="16"/>
      <color rgb="FFC0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7" fillId="0" borderId="0"/>
    <xf numFmtId="0" fontId="1" fillId="0" borderId="0"/>
    <xf numFmtId="0" fontId="10" fillId="0" borderId="0"/>
  </cellStyleXfs>
  <cellXfs count="720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/>
    <xf numFmtId="3" fontId="6" fillId="0" borderId="0" xfId="0" applyNumberFormat="1" applyFont="1" applyAlignment="1">
      <alignment horizontal="right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 wrapText="1"/>
    </xf>
    <xf numFmtId="3" fontId="9" fillId="2" borderId="13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8" fillId="0" borderId="0" xfId="2" applyFont="1"/>
    <xf numFmtId="0" fontId="6" fillId="0" borderId="0" xfId="2" applyFont="1"/>
    <xf numFmtId="0" fontId="8" fillId="0" borderId="0" xfId="2" applyFont="1" applyAlignment="1">
      <alignment horizontal="right"/>
    </xf>
    <xf numFmtId="0" fontId="6" fillId="0" borderId="0" xfId="0" applyFont="1" applyAlignment="1">
      <alignment horizontal="center"/>
    </xf>
    <xf numFmtId="3" fontId="8" fillId="2" borderId="4" xfId="0" applyNumberFormat="1" applyFont="1" applyFill="1" applyBorder="1" applyAlignment="1">
      <alignment horizontal="right" vertical="center" wrapText="1"/>
    </xf>
    <xf numFmtId="3" fontId="8" fillId="2" borderId="6" xfId="0" applyNumberFormat="1" applyFont="1" applyFill="1" applyBorder="1" applyAlignment="1">
      <alignment horizontal="right" vertical="center" wrapText="1"/>
    </xf>
    <xf numFmtId="3" fontId="11" fillId="2" borderId="4" xfId="0" applyNumberFormat="1" applyFont="1" applyFill="1" applyBorder="1" applyAlignment="1">
      <alignment horizontal="right" vertical="center" wrapText="1"/>
    </xf>
    <xf numFmtId="3" fontId="11" fillId="2" borderId="6" xfId="0" applyNumberFormat="1" applyFont="1" applyFill="1" applyBorder="1" applyAlignment="1">
      <alignment horizontal="right" vertical="center" wrapText="1"/>
    </xf>
    <xf numFmtId="3" fontId="11" fillId="2" borderId="13" xfId="0" applyNumberFormat="1" applyFont="1" applyFill="1" applyBorder="1" applyAlignment="1">
      <alignment horizontal="right" vertical="center" wrapText="1"/>
    </xf>
    <xf numFmtId="3" fontId="11" fillId="2" borderId="8" xfId="0" applyNumberFormat="1" applyFont="1" applyFill="1" applyBorder="1" applyAlignment="1">
      <alignment horizontal="right" vertical="center" wrapText="1"/>
    </xf>
    <xf numFmtId="3" fontId="8" fillId="2" borderId="20" xfId="0" applyNumberFormat="1" applyFont="1" applyFill="1" applyBorder="1" applyAlignment="1">
      <alignment horizontal="right" vertical="center" wrapText="1"/>
    </xf>
    <xf numFmtId="3" fontId="8" fillId="2" borderId="15" xfId="0" applyNumberFormat="1" applyFont="1" applyFill="1" applyBorder="1" applyAlignment="1">
      <alignment horizontal="right" vertical="center" wrapText="1"/>
    </xf>
    <xf numFmtId="3" fontId="8" fillId="2" borderId="22" xfId="0" applyNumberFormat="1" applyFont="1" applyFill="1" applyBorder="1" applyAlignment="1">
      <alignment horizontal="right" vertical="center" wrapText="1"/>
    </xf>
    <xf numFmtId="3" fontId="11" fillId="3" borderId="41" xfId="0" applyNumberFormat="1" applyFont="1" applyFill="1" applyBorder="1" applyAlignment="1">
      <alignment horizontal="right" vertical="center"/>
    </xf>
    <xf numFmtId="3" fontId="9" fillId="3" borderId="41" xfId="0" applyNumberFormat="1" applyFont="1" applyFill="1" applyBorder="1" applyAlignment="1">
      <alignment horizontal="right" vertical="center"/>
    </xf>
    <xf numFmtId="0" fontId="6" fillId="0" borderId="0" xfId="2" applyFont="1" applyAlignment="1">
      <alignment horizontal="center"/>
    </xf>
    <xf numFmtId="3" fontId="6" fillId="0" borderId="0" xfId="2" applyNumberFormat="1" applyFont="1" applyAlignment="1">
      <alignment horizontal="right"/>
    </xf>
    <xf numFmtId="3" fontId="6" fillId="0" borderId="0" xfId="2" applyNumberFormat="1" applyFont="1" applyAlignment="1">
      <alignment horizontal="center"/>
    </xf>
    <xf numFmtId="0" fontId="12" fillId="0" borderId="0" xfId="2" applyFont="1" applyAlignment="1">
      <alignment horizontal="center"/>
    </xf>
    <xf numFmtId="3" fontId="5" fillId="0" borderId="0" xfId="2" applyNumberFormat="1" applyFont="1" applyAlignment="1">
      <alignment horizontal="right"/>
    </xf>
    <xf numFmtId="0" fontId="9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5" fillId="0" borderId="3" xfId="2" applyFont="1" applyBorder="1" applyAlignment="1">
      <alignment horizontal="center" vertical="center"/>
    </xf>
    <xf numFmtId="3" fontId="8" fillId="0" borderId="4" xfId="2" applyNumberFormat="1" applyFont="1" applyBorder="1" applyAlignment="1">
      <alignment horizontal="right" vertical="center" wrapText="1"/>
    </xf>
    <xf numFmtId="3" fontId="5" fillId="0" borderId="2" xfId="2" applyNumberFormat="1" applyFont="1" applyBorder="1" applyAlignment="1">
      <alignment horizontal="center" vertical="center" wrapText="1"/>
    </xf>
    <xf numFmtId="3" fontId="8" fillId="0" borderId="4" xfId="2" applyNumberFormat="1" applyFont="1" applyBorder="1" applyAlignment="1">
      <alignment horizontal="right" vertical="center"/>
    </xf>
    <xf numFmtId="3" fontId="8" fillId="0" borderId="6" xfId="2" applyNumberFormat="1" applyFont="1" applyBorder="1" applyAlignment="1">
      <alignment horizontal="right" vertical="center"/>
    </xf>
    <xf numFmtId="0" fontId="7" fillId="0" borderId="0" xfId="2" applyFont="1" applyAlignment="1">
      <alignment vertical="center"/>
    </xf>
    <xf numFmtId="0" fontId="6" fillId="0" borderId="2" xfId="2" applyFont="1" applyBorder="1" applyAlignment="1">
      <alignment horizontal="center" vertical="center"/>
    </xf>
    <xf numFmtId="3" fontId="6" fillId="0" borderId="2" xfId="2" applyNumberFormat="1" applyFont="1" applyBorder="1" applyAlignment="1">
      <alignment horizontal="center" vertical="center" wrapText="1"/>
    </xf>
    <xf numFmtId="3" fontId="8" fillId="0" borderId="6" xfId="2" applyNumberFormat="1" applyFont="1" applyBorder="1" applyAlignment="1">
      <alignment horizontal="right" vertical="center" wrapText="1"/>
    </xf>
    <xf numFmtId="3" fontId="9" fillId="0" borderId="4" xfId="2" applyNumberFormat="1" applyFont="1" applyBorder="1" applyAlignment="1">
      <alignment horizontal="center" vertical="center" wrapText="1"/>
    </xf>
    <xf numFmtId="0" fontId="9" fillId="0" borderId="4" xfId="2" applyFont="1" applyBorder="1" applyAlignment="1">
      <alignment horizontal="left" vertical="center"/>
    </xf>
    <xf numFmtId="3" fontId="11" fillId="0" borderId="4" xfId="2" applyNumberFormat="1" applyFont="1" applyBorder="1" applyAlignment="1" applyProtection="1">
      <alignment horizontal="right" vertical="center" wrapText="1"/>
      <protection locked="0"/>
    </xf>
    <xf numFmtId="3" fontId="11" fillId="0" borderId="6" xfId="2" applyNumberFormat="1" applyFont="1" applyBorder="1" applyAlignment="1" applyProtection="1">
      <alignment horizontal="right" vertical="center" wrapText="1"/>
      <protection locked="0"/>
    </xf>
    <xf numFmtId="3" fontId="8" fillId="0" borderId="4" xfId="2" applyNumberFormat="1" applyFont="1" applyBorder="1" applyAlignment="1" applyProtection="1">
      <alignment horizontal="right" vertical="center" wrapText="1"/>
      <protection locked="0"/>
    </xf>
    <xf numFmtId="3" fontId="8" fillId="0" borderId="6" xfId="2" applyNumberFormat="1" applyFont="1" applyBorder="1" applyAlignment="1" applyProtection="1">
      <alignment horizontal="right" vertical="center" wrapText="1"/>
      <protection locked="0"/>
    </xf>
    <xf numFmtId="3" fontId="22" fillId="0" borderId="6" xfId="2" applyNumberFormat="1" applyFont="1" applyBorder="1" applyAlignment="1" applyProtection="1">
      <alignment horizontal="right" vertical="center" wrapText="1"/>
      <protection locked="0"/>
    </xf>
    <xf numFmtId="0" fontId="6" fillId="0" borderId="1" xfId="2" applyFont="1" applyBorder="1" applyAlignment="1">
      <alignment horizontal="center" vertical="center"/>
    </xf>
    <xf numFmtId="3" fontId="16" fillId="0" borderId="4" xfId="2" applyNumberFormat="1" applyFont="1" applyBorder="1" applyAlignment="1">
      <alignment horizontal="center" vertical="center" wrapText="1"/>
    </xf>
    <xf numFmtId="0" fontId="16" fillId="0" borderId="4" xfId="2" applyFont="1" applyBorder="1" applyAlignment="1">
      <alignment horizontal="left" vertical="center"/>
    </xf>
    <xf numFmtId="3" fontId="6" fillId="0" borderId="0" xfId="2" applyNumberFormat="1" applyFont="1" applyAlignment="1">
      <alignment vertical="center"/>
    </xf>
    <xf numFmtId="3" fontId="6" fillId="0" borderId="1" xfId="2" applyNumberFormat="1" applyFont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/>
    </xf>
    <xf numFmtId="3" fontId="5" fillId="2" borderId="22" xfId="2" applyNumberFormat="1" applyFont="1" applyFill="1" applyBorder="1" applyAlignment="1">
      <alignment horizontal="right" vertical="center" wrapText="1"/>
    </xf>
    <xf numFmtId="3" fontId="5" fillId="2" borderId="2" xfId="2" applyNumberFormat="1" applyFont="1" applyFill="1" applyBorder="1" applyAlignment="1">
      <alignment horizontal="center" vertical="center" wrapText="1"/>
    </xf>
    <xf numFmtId="3" fontId="8" fillId="2" borderId="4" xfId="2" applyNumberFormat="1" applyFont="1" applyFill="1" applyBorder="1" applyAlignment="1">
      <alignment horizontal="right" vertical="center" wrapText="1"/>
    </xf>
    <xf numFmtId="3" fontId="8" fillId="2" borderId="6" xfId="2" applyNumberFormat="1" applyFont="1" applyFill="1" applyBorder="1" applyAlignment="1">
      <alignment horizontal="right" vertical="center" wrapText="1"/>
    </xf>
    <xf numFmtId="0" fontId="6" fillId="2" borderId="2" xfId="2" applyFont="1" applyFill="1" applyBorder="1" applyAlignment="1">
      <alignment horizontal="center" vertical="center"/>
    </xf>
    <xf numFmtId="3" fontId="9" fillId="2" borderId="4" xfId="2" applyNumberFormat="1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left" vertical="center"/>
    </xf>
    <xf numFmtId="3" fontId="11" fillId="2" borderId="4" xfId="2" applyNumberFormat="1" applyFont="1" applyFill="1" applyBorder="1" applyAlignment="1">
      <alignment horizontal="right" vertical="center" wrapText="1"/>
    </xf>
    <xf numFmtId="3" fontId="11" fillId="2" borderId="6" xfId="2" applyNumberFormat="1" applyFont="1" applyFill="1" applyBorder="1" applyAlignment="1">
      <alignment horizontal="right" vertical="center" wrapText="1"/>
    </xf>
    <xf numFmtId="0" fontId="6" fillId="2" borderId="1" xfId="2" applyFont="1" applyFill="1" applyBorder="1" applyAlignment="1">
      <alignment horizontal="center" vertical="center"/>
    </xf>
    <xf numFmtId="3" fontId="11" fillId="2" borderId="13" xfId="2" applyNumberFormat="1" applyFont="1" applyFill="1" applyBorder="1" applyAlignment="1">
      <alignment horizontal="right" vertical="center" wrapText="1"/>
    </xf>
    <xf numFmtId="0" fontId="19" fillId="0" borderId="0" xfId="2" applyFont="1" applyAlignment="1">
      <alignment horizontal="center" vertical="center"/>
    </xf>
    <xf numFmtId="3" fontId="5" fillId="0" borderId="3" xfId="2" applyNumberFormat="1" applyFont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/>
    </xf>
    <xf numFmtId="3" fontId="5" fillId="2" borderId="3" xfId="2" applyNumberFormat="1" applyFont="1" applyFill="1" applyBorder="1" applyAlignment="1">
      <alignment horizontal="center" vertical="center" wrapText="1"/>
    </xf>
    <xf numFmtId="3" fontId="7" fillId="2" borderId="2" xfId="2" applyNumberFormat="1" applyFont="1" applyFill="1" applyBorder="1" applyAlignment="1">
      <alignment horizontal="center" vertical="center" wrapText="1"/>
    </xf>
    <xf numFmtId="3" fontId="9" fillId="2" borderId="13" xfId="2" applyNumberFormat="1" applyFont="1" applyFill="1" applyBorder="1" applyAlignment="1">
      <alignment horizontal="center" vertical="center" wrapText="1"/>
    </xf>
    <xf numFmtId="0" fontId="9" fillId="2" borderId="13" xfId="2" applyFont="1" applyFill="1" applyBorder="1" applyAlignment="1">
      <alignment horizontal="left" vertical="center"/>
    </xf>
    <xf numFmtId="3" fontId="11" fillId="2" borderId="8" xfId="2" applyNumberFormat="1" applyFont="1" applyFill="1" applyBorder="1" applyAlignment="1">
      <alignment horizontal="right" vertical="center" wrapText="1"/>
    </xf>
    <xf numFmtId="0" fontId="20" fillId="0" borderId="0" xfId="2" applyFont="1" applyAlignment="1">
      <alignment vertical="center"/>
    </xf>
    <xf numFmtId="3" fontId="8" fillId="2" borderId="22" xfId="2" applyNumberFormat="1" applyFont="1" applyFill="1" applyBorder="1" applyAlignment="1">
      <alignment horizontal="right" vertical="center" wrapText="1"/>
    </xf>
    <xf numFmtId="0" fontId="5" fillId="2" borderId="14" xfId="2" applyFont="1" applyFill="1" applyBorder="1" applyAlignment="1">
      <alignment horizontal="center" vertical="center"/>
    </xf>
    <xf numFmtId="3" fontId="8" fillId="2" borderId="20" xfId="2" applyNumberFormat="1" applyFont="1" applyFill="1" applyBorder="1" applyAlignment="1">
      <alignment horizontal="right" vertical="center" wrapText="1"/>
    </xf>
    <xf numFmtId="3" fontId="8" fillId="2" borderId="15" xfId="2" applyNumberFormat="1" applyFont="1" applyFill="1" applyBorder="1" applyAlignment="1">
      <alignment horizontal="right" vertical="center" wrapText="1"/>
    </xf>
    <xf numFmtId="0" fontId="5" fillId="0" borderId="0" xfId="2" applyFont="1" applyAlignment="1">
      <alignment vertical="center"/>
    </xf>
    <xf numFmtId="0" fontId="5" fillId="0" borderId="2" xfId="2" applyFont="1" applyBorder="1" applyAlignment="1">
      <alignment horizontal="center" vertical="center"/>
    </xf>
    <xf numFmtId="3" fontId="8" fillId="0" borderId="22" xfId="2" applyNumberFormat="1" applyFont="1" applyBorder="1" applyAlignment="1">
      <alignment horizontal="right" vertical="center" wrapText="1"/>
    </xf>
    <xf numFmtId="0" fontId="5" fillId="0" borderId="14" xfId="2" applyFont="1" applyBorder="1" applyAlignment="1">
      <alignment horizontal="center" vertical="center"/>
    </xf>
    <xf numFmtId="3" fontId="8" fillId="0" borderId="20" xfId="2" applyNumberFormat="1" applyFont="1" applyBorder="1" applyAlignment="1">
      <alignment horizontal="right" vertical="center" wrapText="1"/>
    </xf>
    <xf numFmtId="3" fontId="8" fillId="0" borderId="15" xfId="2" applyNumberFormat="1" applyFont="1" applyBorder="1" applyAlignment="1">
      <alignment horizontal="right" vertical="center" wrapText="1"/>
    </xf>
    <xf numFmtId="0" fontId="8" fillId="0" borderId="2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12" fillId="0" borderId="0" xfId="0" applyFont="1" applyAlignment="1">
      <alignment horizontal="center"/>
    </xf>
    <xf numFmtId="3" fontId="8" fillId="0" borderId="4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3" fontId="11" fillId="0" borderId="4" xfId="0" applyNumberFormat="1" applyFont="1" applyBorder="1" applyAlignment="1" applyProtection="1">
      <alignment horizontal="right" vertical="center" wrapText="1"/>
      <protection locked="0"/>
    </xf>
    <xf numFmtId="3" fontId="11" fillId="0" borderId="19" xfId="0" applyNumberFormat="1" applyFont="1" applyBorder="1" applyAlignment="1" applyProtection="1">
      <alignment horizontal="right" vertical="center" wrapText="1"/>
      <protection locked="0"/>
    </xf>
    <xf numFmtId="3" fontId="11" fillId="0" borderId="6" xfId="0" applyNumberFormat="1" applyFont="1" applyBorder="1" applyAlignment="1" applyProtection="1">
      <alignment horizontal="right" vertical="center" wrapText="1"/>
      <protection locked="0"/>
    </xf>
    <xf numFmtId="3" fontId="11" fillId="0" borderId="41" xfId="0" applyNumberFormat="1" applyFont="1" applyBorder="1" applyAlignment="1">
      <alignment horizontal="right" vertical="center"/>
    </xf>
    <xf numFmtId="3" fontId="16" fillId="0" borderId="4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/>
    </xf>
    <xf numFmtId="3" fontId="9" fillId="0" borderId="4" xfId="0" applyNumberFormat="1" applyFont="1" applyBorder="1" applyAlignment="1" applyProtection="1">
      <alignment horizontal="right" vertical="center" wrapText="1"/>
      <protection locked="0"/>
    </xf>
    <xf numFmtId="3" fontId="9" fillId="0" borderId="6" xfId="0" applyNumberFormat="1" applyFont="1" applyBorder="1" applyAlignment="1" applyProtection="1">
      <alignment horizontal="right" vertical="center" wrapText="1"/>
      <protection locked="0"/>
    </xf>
    <xf numFmtId="3" fontId="6" fillId="0" borderId="1" xfId="0" applyNumberFormat="1" applyFont="1" applyBorder="1" applyAlignment="1">
      <alignment horizontal="center" vertical="center" wrapText="1"/>
    </xf>
    <xf numFmtId="3" fontId="5" fillId="2" borderId="22" xfId="0" applyNumberFormat="1" applyFont="1" applyFill="1" applyBorder="1" applyAlignment="1">
      <alignment vertical="center" wrapText="1"/>
    </xf>
    <xf numFmtId="3" fontId="9" fillId="2" borderId="4" xfId="0" applyNumberFormat="1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/>
    </xf>
    <xf numFmtId="3" fontId="5" fillId="0" borderId="3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right" vertical="center" wrapText="1"/>
    </xf>
    <xf numFmtId="3" fontId="8" fillId="0" borderId="15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vertical="center"/>
    </xf>
    <xf numFmtId="3" fontId="8" fillId="0" borderId="19" xfId="2" applyNumberFormat="1" applyFont="1" applyBorder="1" applyAlignment="1">
      <alignment horizontal="right" vertical="center" wrapText="1"/>
    </xf>
    <xf numFmtId="3" fontId="8" fillId="0" borderId="19" xfId="2" applyNumberFormat="1" applyFont="1" applyBorder="1" applyAlignment="1">
      <alignment horizontal="right" vertical="center"/>
    </xf>
    <xf numFmtId="3" fontId="11" fillId="0" borderId="19" xfId="2" applyNumberFormat="1" applyFont="1" applyBorder="1" applyAlignment="1" applyProtection="1">
      <alignment horizontal="right" vertical="center" wrapText="1"/>
      <protection locked="0"/>
    </xf>
    <xf numFmtId="3" fontId="11" fillId="0" borderId="41" xfId="2" applyNumberFormat="1" applyFont="1" applyBorder="1" applyAlignment="1">
      <alignment horizontal="right" vertical="center"/>
    </xf>
    <xf numFmtId="3" fontId="9" fillId="0" borderId="4" xfId="2" applyNumberFormat="1" applyFont="1" applyBorder="1" applyAlignment="1" applyProtection="1">
      <alignment horizontal="right" vertical="center" wrapText="1"/>
      <protection locked="0"/>
    </xf>
    <xf numFmtId="3" fontId="9" fillId="0" borderId="13" xfId="2" applyNumberFormat="1" applyFont="1" applyBorder="1" applyAlignment="1" applyProtection="1">
      <alignment horizontal="right" vertical="center" wrapText="1"/>
      <protection locked="0"/>
    </xf>
    <xf numFmtId="3" fontId="11" fillId="0" borderId="13" xfId="2" applyNumberFormat="1" applyFont="1" applyBorder="1" applyAlignment="1" applyProtection="1">
      <alignment horizontal="right" vertical="center" wrapText="1"/>
      <protection locked="0"/>
    </xf>
    <xf numFmtId="3" fontId="11" fillId="2" borderId="5" xfId="2" applyNumberFormat="1" applyFont="1" applyFill="1" applyBorder="1" applyAlignment="1">
      <alignment horizontal="right" vertical="center" wrapText="1"/>
    </xf>
    <xf numFmtId="0" fontId="11" fillId="0" borderId="41" xfId="2" applyFont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3" fontId="8" fillId="4" borderId="46" xfId="0" applyNumberFormat="1" applyFont="1" applyFill="1" applyBorder="1" applyAlignment="1">
      <alignment horizontal="center" vertical="center" wrapText="1"/>
    </xf>
    <xf numFmtId="3" fontId="8" fillId="4" borderId="48" xfId="0" applyNumberFormat="1" applyFont="1" applyFill="1" applyBorder="1" applyAlignment="1">
      <alignment horizontal="center" vertical="center" wrapText="1"/>
    </xf>
    <xf numFmtId="16" fontId="24" fillId="3" borderId="1" xfId="8" applyNumberFormat="1" applyFont="1" applyFill="1" applyBorder="1" applyAlignment="1">
      <alignment horizontal="center" vertical="center"/>
    </xf>
    <xf numFmtId="0" fontId="24" fillId="3" borderId="22" xfId="8" applyFont="1" applyFill="1" applyBorder="1" applyAlignment="1">
      <alignment vertical="center" wrapText="1"/>
    </xf>
    <xf numFmtId="3" fontId="24" fillId="3" borderId="31" xfId="8" applyNumberFormat="1" applyFont="1" applyFill="1" applyBorder="1" applyAlignment="1">
      <alignment horizontal="right" vertical="center" wrapText="1"/>
    </xf>
    <xf numFmtId="16" fontId="24" fillId="3" borderId="49" xfId="8" applyNumberFormat="1" applyFont="1" applyFill="1" applyBorder="1" applyAlignment="1">
      <alignment horizontal="center" vertical="center"/>
    </xf>
    <xf numFmtId="0" fontId="24" fillId="3" borderId="5" xfId="8" applyFont="1" applyFill="1" applyBorder="1" applyAlignment="1">
      <alignment horizontal="left" vertical="center" wrapText="1"/>
    </xf>
    <xf numFmtId="0" fontId="25" fillId="0" borderId="0" xfId="0" applyFont="1"/>
    <xf numFmtId="0" fontId="24" fillId="3" borderId="5" xfId="8" applyFont="1" applyFill="1" applyBorder="1" applyAlignment="1">
      <alignment horizontal="left" vertical="center"/>
    </xf>
    <xf numFmtId="0" fontId="26" fillId="0" borderId="0" xfId="0" applyFont="1"/>
    <xf numFmtId="3" fontId="5" fillId="4" borderId="10" xfId="0" applyNumberFormat="1" applyFont="1" applyFill="1" applyBorder="1" applyAlignment="1">
      <alignment horizontal="right" vertical="center"/>
    </xf>
    <xf numFmtId="0" fontId="24" fillId="3" borderId="4" xfId="8" applyFont="1" applyFill="1" applyBorder="1" applyAlignment="1">
      <alignment vertical="center" wrapText="1"/>
    </xf>
    <xf numFmtId="3" fontId="0" fillId="0" borderId="0" xfId="0" applyNumberFormat="1"/>
    <xf numFmtId="0" fontId="24" fillId="0" borderId="0" xfId="0" applyFont="1"/>
    <xf numFmtId="3" fontId="24" fillId="0" borderId="0" xfId="0" applyNumberFormat="1" applyFont="1"/>
    <xf numFmtId="0" fontId="24" fillId="0" borderId="49" xfId="8" applyFont="1" applyBorder="1" applyAlignment="1">
      <alignment horizontal="center" vertical="center"/>
    </xf>
    <xf numFmtId="3" fontId="24" fillId="0" borderId="4" xfId="0" applyNumberFormat="1" applyFont="1" applyBorder="1" applyAlignment="1">
      <alignment vertical="center"/>
    </xf>
    <xf numFmtId="3" fontId="24" fillId="0" borderId="13" xfId="0" applyNumberFormat="1" applyFont="1" applyBorder="1" applyAlignment="1">
      <alignment vertical="center"/>
    </xf>
    <xf numFmtId="0" fontId="24" fillId="0" borderId="4" xfId="8" applyFont="1" applyBorder="1" applyAlignment="1">
      <alignment horizontal="center" vertical="center"/>
    </xf>
    <xf numFmtId="0" fontId="24" fillId="0" borderId="0" xfId="2" applyFont="1"/>
    <xf numFmtId="0" fontId="19" fillId="0" borderId="0" xfId="2" applyFont="1"/>
    <xf numFmtId="3" fontId="5" fillId="4" borderId="7" xfId="2" applyNumberFormat="1" applyFont="1" applyFill="1" applyBorder="1" applyAlignment="1">
      <alignment horizontal="center" vertical="center" wrapText="1"/>
    </xf>
    <xf numFmtId="3" fontId="13" fillId="4" borderId="7" xfId="2" applyNumberFormat="1" applyFont="1" applyFill="1" applyBorder="1" applyAlignment="1">
      <alignment horizontal="center" vertical="center" wrapText="1"/>
    </xf>
    <xf numFmtId="0" fontId="5" fillId="4" borderId="17" xfId="2" applyFont="1" applyFill="1" applyBorder="1" applyAlignment="1">
      <alignment horizontal="center" vertical="center"/>
    </xf>
    <xf numFmtId="0" fontId="5" fillId="4" borderId="10" xfId="2" applyFont="1" applyFill="1" applyBorder="1" applyAlignment="1">
      <alignment horizontal="center" vertical="center"/>
    </xf>
    <xf numFmtId="0" fontId="24" fillId="3" borderId="20" xfId="8" applyFont="1" applyFill="1" applyBorder="1" applyAlignment="1">
      <alignment horizontal="center" vertical="center"/>
    </xf>
    <xf numFmtId="3" fontId="24" fillId="3" borderId="20" xfId="2" applyNumberFormat="1" applyFont="1" applyFill="1" applyBorder="1" applyAlignment="1">
      <alignment vertical="center"/>
    </xf>
    <xf numFmtId="3" fontId="24" fillId="3" borderId="28" xfId="2" applyNumberFormat="1" applyFont="1" applyFill="1" applyBorder="1" applyAlignment="1">
      <alignment vertical="center"/>
    </xf>
    <xf numFmtId="3" fontId="24" fillId="3" borderId="15" xfId="2" applyNumberFormat="1" applyFont="1" applyFill="1" applyBorder="1" applyAlignment="1">
      <alignment vertical="center"/>
    </xf>
    <xf numFmtId="0" fontId="24" fillId="3" borderId="0" xfId="2" applyFont="1" applyFill="1"/>
    <xf numFmtId="0" fontId="24" fillId="3" borderId="22" xfId="8" applyFont="1" applyFill="1" applyBorder="1" applyAlignment="1">
      <alignment horizontal="center" vertical="center"/>
    </xf>
    <xf numFmtId="3" fontId="24" fillId="3" borderId="4" xfId="2" applyNumberFormat="1" applyFont="1" applyFill="1" applyBorder="1" applyAlignment="1">
      <alignment vertical="center"/>
    </xf>
    <xf numFmtId="3" fontId="24" fillId="3" borderId="5" xfId="2" applyNumberFormat="1" applyFont="1" applyFill="1" applyBorder="1" applyAlignment="1">
      <alignment vertical="center"/>
    </xf>
    <xf numFmtId="3" fontId="24" fillId="3" borderId="60" xfId="2" applyNumberFormat="1" applyFont="1" applyFill="1" applyBorder="1" applyAlignment="1">
      <alignment vertical="center"/>
    </xf>
    <xf numFmtId="3" fontId="5" fillId="5" borderId="7" xfId="2" applyNumberFormat="1" applyFont="1" applyFill="1" applyBorder="1" applyAlignment="1">
      <alignment vertical="center"/>
    </xf>
    <xf numFmtId="3" fontId="5" fillId="5" borderId="10" xfId="2" applyNumberFormat="1" applyFont="1" applyFill="1" applyBorder="1" applyAlignment="1">
      <alignment vertical="center"/>
    </xf>
    <xf numFmtId="0" fontId="24" fillId="0" borderId="20" xfId="8" applyFont="1" applyBorder="1" applyAlignment="1">
      <alignment horizontal="center" vertical="center"/>
    </xf>
    <xf numFmtId="3" fontId="24" fillId="0" borderId="20" xfId="2" applyNumberFormat="1" applyFont="1" applyBorder="1" applyAlignment="1">
      <alignment vertical="center"/>
    </xf>
    <xf numFmtId="3" fontId="24" fillId="0" borderId="28" xfId="2" applyNumberFormat="1" applyFont="1" applyBorder="1" applyAlignment="1">
      <alignment vertical="center"/>
    </xf>
    <xf numFmtId="3" fontId="24" fillId="0" borderId="15" xfId="2" applyNumberFormat="1" applyFont="1" applyBorder="1" applyAlignment="1">
      <alignment vertical="center"/>
    </xf>
    <xf numFmtId="0" fontId="24" fillId="0" borderId="22" xfId="8" applyFont="1" applyBorder="1" applyAlignment="1">
      <alignment horizontal="center" vertical="center"/>
    </xf>
    <xf numFmtId="3" fontId="24" fillId="0" borderId="13" xfId="2" applyNumberFormat="1" applyFont="1" applyBorder="1" applyAlignment="1">
      <alignment vertical="center"/>
    </xf>
    <xf numFmtId="3" fontId="24" fillId="0" borderId="5" xfId="2" applyNumberFormat="1" applyFont="1" applyBorder="1" applyAlignment="1">
      <alignment vertical="center"/>
    </xf>
    <xf numFmtId="3" fontId="24" fillId="0" borderId="60" xfId="2" applyNumberFormat="1" applyFont="1" applyBorder="1" applyAlignment="1">
      <alignment vertical="center"/>
    </xf>
    <xf numFmtId="3" fontId="24" fillId="3" borderId="22" xfId="2" applyNumberFormat="1" applyFont="1" applyFill="1" applyBorder="1" applyAlignment="1">
      <alignment vertical="center"/>
    </xf>
    <xf numFmtId="3" fontId="24" fillId="3" borderId="16" xfId="2" applyNumberFormat="1" applyFont="1" applyFill="1" applyBorder="1" applyAlignment="1">
      <alignment vertical="center"/>
    </xf>
    <xf numFmtId="3" fontId="24" fillId="0" borderId="22" xfId="2" applyNumberFormat="1" applyFont="1" applyBorder="1" applyAlignment="1">
      <alignment vertical="center"/>
    </xf>
    <xf numFmtId="3" fontId="24" fillId="0" borderId="16" xfId="2" applyNumberFormat="1" applyFont="1" applyBorder="1" applyAlignment="1">
      <alignment vertical="center"/>
    </xf>
    <xf numFmtId="3" fontId="24" fillId="3" borderId="13" xfId="2" applyNumberFormat="1" applyFont="1" applyFill="1" applyBorder="1" applyAlignment="1">
      <alignment vertical="center"/>
    </xf>
    <xf numFmtId="3" fontId="24" fillId="0" borderId="4" xfId="2" applyNumberFormat="1" applyFont="1" applyBorder="1" applyAlignment="1">
      <alignment vertical="center"/>
    </xf>
    <xf numFmtId="3" fontId="5" fillId="5" borderId="13" xfId="2" applyNumberFormat="1" applyFont="1" applyFill="1" applyBorder="1" applyAlignment="1">
      <alignment vertical="center"/>
    </xf>
    <xf numFmtId="3" fontId="5" fillId="5" borderId="8" xfId="2" applyNumberFormat="1" applyFont="1" applyFill="1" applyBorder="1" applyAlignment="1">
      <alignment vertical="center"/>
    </xf>
    <xf numFmtId="0" fontId="7" fillId="4" borderId="20" xfId="8" applyFont="1" applyFill="1" applyBorder="1" applyAlignment="1">
      <alignment horizontal="center" vertical="center"/>
    </xf>
    <xf numFmtId="3" fontId="23" fillId="4" borderId="20" xfId="2" applyNumberFormat="1" applyFont="1" applyFill="1" applyBorder="1" applyAlignment="1">
      <alignment vertical="center"/>
    </xf>
    <xf numFmtId="3" fontId="23" fillId="4" borderId="15" xfId="2" applyNumberFormat="1" applyFont="1" applyFill="1" applyBorder="1" applyAlignment="1">
      <alignment vertical="center"/>
    </xf>
    <xf numFmtId="0" fontId="5" fillId="4" borderId="22" xfId="8" applyFont="1" applyFill="1" applyBorder="1" applyAlignment="1">
      <alignment horizontal="center" vertical="center"/>
    </xf>
    <xf numFmtId="3" fontId="23" fillId="4" borderId="22" xfId="2" applyNumberFormat="1" applyFont="1" applyFill="1" applyBorder="1" applyAlignment="1">
      <alignment vertical="center"/>
    </xf>
    <xf numFmtId="3" fontId="23" fillId="4" borderId="60" xfId="2" applyNumberFormat="1" applyFont="1" applyFill="1" applyBorder="1" applyAlignment="1">
      <alignment vertical="center"/>
    </xf>
    <xf numFmtId="0" fontId="5" fillId="4" borderId="21" xfId="8" applyFont="1" applyFill="1" applyBorder="1" applyAlignment="1">
      <alignment horizontal="center" vertical="center"/>
    </xf>
    <xf numFmtId="3" fontId="5" fillId="4" borderId="7" xfId="2" applyNumberFormat="1" applyFont="1" applyFill="1" applyBorder="1"/>
    <xf numFmtId="3" fontId="5" fillId="4" borderId="10" xfId="2" applyNumberFormat="1" applyFont="1" applyFill="1" applyBorder="1"/>
    <xf numFmtId="3" fontId="8" fillId="4" borderId="21" xfId="2" applyNumberFormat="1" applyFont="1" applyFill="1" applyBorder="1" applyAlignment="1">
      <alignment horizontal="center" vertical="center" wrapText="1"/>
    </xf>
    <xf numFmtId="3" fontId="24" fillId="0" borderId="6" xfId="2" applyNumberFormat="1" applyFont="1" applyBorder="1" applyAlignment="1">
      <alignment vertical="center"/>
    </xf>
    <xf numFmtId="0" fontId="5" fillId="5" borderId="7" xfId="8" applyFont="1" applyFill="1" applyBorder="1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7" fillId="0" borderId="0" xfId="0" applyFont="1" applyAlignment="1">
      <alignment horizontal="centerContinuous"/>
    </xf>
    <xf numFmtId="3" fontId="5" fillId="4" borderId="4" xfId="0" applyNumberFormat="1" applyFont="1" applyFill="1" applyBorder="1" applyAlignment="1">
      <alignment horizontal="center" vertical="center" wrapText="1"/>
    </xf>
    <xf numFmtId="3" fontId="29" fillId="4" borderId="4" xfId="0" applyNumberFormat="1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horizontal="center" vertical="center" wrapText="1"/>
    </xf>
    <xf numFmtId="0" fontId="24" fillId="3" borderId="49" xfId="8" applyFont="1" applyFill="1" applyBorder="1" applyAlignment="1">
      <alignment horizontal="center" vertical="center"/>
    </xf>
    <xf numFmtId="0" fontId="24" fillId="3" borderId="4" xfId="8" applyFont="1" applyFill="1" applyBorder="1" applyAlignment="1">
      <alignment horizontal="center" vertical="center"/>
    </xf>
    <xf numFmtId="165" fontId="24" fillId="3" borderId="4" xfId="8" applyNumberFormat="1" applyFont="1" applyFill="1" applyBorder="1" applyAlignment="1">
      <alignment horizontal="center" vertical="center"/>
    </xf>
    <xf numFmtId="3" fontId="24" fillId="3" borderId="4" xfId="0" applyNumberFormat="1" applyFont="1" applyFill="1" applyBorder="1" applyAlignment="1">
      <alignment vertical="center"/>
    </xf>
    <xf numFmtId="3" fontId="24" fillId="3" borderId="6" xfId="0" applyNumberFormat="1" applyFont="1" applyFill="1" applyBorder="1" applyAlignment="1">
      <alignment vertical="center"/>
    </xf>
    <xf numFmtId="3" fontId="24" fillId="3" borderId="0" xfId="0" applyNumberFormat="1" applyFont="1" applyFill="1"/>
    <xf numFmtId="0" fontId="24" fillId="3" borderId="0" xfId="0" applyFont="1" applyFill="1"/>
    <xf numFmtId="3" fontId="19" fillId="3" borderId="4" xfId="0" applyNumberFormat="1" applyFont="1" applyFill="1" applyBorder="1" applyAlignment="1">
      <alignment vertical="center"/>
    </xf>
    <xf numFmtId="3" fontId="19" fillId="3" borderId="6" xfId="0" applyNumberFormat="1" applyFont="1" applyFill="1" applyBorder="1" applyAlignment="1">
      <alignment vertical="center"/>
    </xf>
    <xf numFmtId="0" fontId="19" fillId="3" borderId="0" xfId="0" applyFont="1" applyFill="1"/>
    <xf numFmtId="165" fontId="24" fillId="0" borderId="4" xfId="8" applyNumberFormat="1" applyFont="1" applyBorder="1" applyAlignment="1">
      <alignment horizontal="center" vertical="center"/>
    </xf>
    <xf numFmtId="0" fontId="27" fillId="0" borderId="4" xfId="8" applyFont="1" applyBorder="1" applyAlignment="1">
      <alignment horizontal="center" vertical="center"/>
    </xf>
    <xf numFmtId="0" fontId="24" fillId="3" borderId="4" xfId="8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/>
    </xf>
    <xf numFmtId="3" fontId="5" fillId="4" borderId="7" xfId="0" applyNumberFormat="1" applyFont="1" applyFill="1" applyBorder="1" applyAlignment="1">
      <alignment vertical="center"/>
    </xf>
    <xf numFmtId="3" fontId="5" fillId="4" borderId="10" xfId="0" applyNumberFormat="1" applyFont="1" applyFill="1" applyBorder="1" applyAlignment="1">
      <alignment vertical="center"/>
    </xf>
    <xf numFmtId="3" fontId="5" fillId="4" borderId="7" xfId="2" applyNumberFormat="1" applyFont="1" applyFill="1" applyBorder="1" applyAlignment="1">
      <alignment vertical="center"/>
    </xf>
    <xf numFmtId="3" fontId="5" fillId="4" borderId="10" xfId="2" applyNumberFormat="1" applyFont="1" applyFill="1" applyBorder="1" applyAlignment="1">
      <alignment vertical="center"/>
    </xf>
    <xf numFmtId="0" fontId="15" fillId="4" borderId="34" xfId="2" applyFont="1" applyFill="1" applyBorder="1" applyAlignment="1">
      <alignment horizontal="center" vertical="center" wrapText="1"/>
    </xf>
    <xf numFmtId="3" fontId="18" fillId="4" borderId="12" xfId="2" applyNumberFormat="1" applyFont="1" applyFill="1" applyBorder="1" applyAlignment="1">
      <alignment horizontal="center" vertical="center" textRotation="180" wrapText="1"/>
    </xf>
    <xf numFmtId="3" fontId="6" fillId="4" borderId="7" xfId="2" applyNumberFormat="1" applyFont="1" applyFill="1" applyBorder="1" applyAlignment="1">
      <alignment horizontal="center" vertical="center" textRotation="180" wrapText="1"/>
    </xf>
    <xf numFmtId="3" fontId="5" fillId="4" borderId="23" xfId="2" applyNumberFormat="1" applyFont="1" applyFill="1" applyBorder="1" applyAlignment="1">
      <alignment horizontal="center" vertical="center" wrapText="1"/>
    </xf>
    <xf numFmtId="3" fontId="5" fillId="4" borderId="10" xfId="2" applyNumberFormat="1" applyFont="1" applyFill="1" applyBorder="1" applyAlignment="1">
      <alignment horizontal="center" vertical="center" wrapText="1"/>
    </xf>
    <xf numFmtId="0" fontId="15" fillId="4" borderId="34" xfId="0" applyFont="1" applyFill="1" applyBorder="1" applyAlignment="1">
      <alignment horizontal="center" vertical="center" wrapText="1"/>
    </xf>
    <xf numFmtId="3" fontId="18" fillId="4" borderId="12" xfId="0" applyNumberFormat="1" applyFont="1" applyFill="1" applyBorder="1" applyAlignment="1">
      <alignment horizontal="center" vertical="center" textRotation="180" wrapText="1"/>
    </xf>
    <xf numFmtId="3" fontId="6" fillId="4" borderId="7" xfId="0" applyNumberFormat="1" applyFont="1" applyFill="1" applyBorder="1" applyAlignment="1">
      <alignment horizontal="center" vertical="center" textRotation="180" wrapText="1"/>
    </xf>
    <xf numFmtId="3" fontId="5" fillId="4" borderId="23" xfId="0" applyNumberFormat="1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center" vertical="center" wrapText="1"/>
    </xf>
    <xf numFmtId="3" fontId="5" fillId="4" borderId="42" xfId="0" applyNumberFormat="1" applyFont="1" applyFill="1" applyBorder="1" applyAlignment="1">
      <alignment horizontal="center" vertical="center" wrapText="1"/>
    </xf>
    <xf numFmtId="0" fontId="20" fillId="4" borderId="23" xfId="2" applyFont="1" applyFill="1" applyBorder="1" applyAlignment="1">
      <alignment horizontal="left" vertical="center" wrapText="1"/>
    </xf>
    <xf numFmtId="3" fontId="20" fillId="4" borderId="7" xfId="2" applyNumberFormat="1" applyFont="1" applyFill="1" applyBorder="1" applyAlignment="1">
      <alignment horizontal="right" vertical="center" wrapText="1"/>
    </xf>
    <xf numFmtId="3" fontId="20" fillId="4" borderId="7" xfId="2" applyNumberFormat="1" applyFont="1" applyFill="1" applyBorder="1" applyAlignment="1">
      <alignment horizontal="center" vertical="center" wrapText="1"/>
    </xf>
    <xf numFmtId="3" fontId="20" fillId="4" borderId="10" xfId="2" applyNumberFormat="1" applyFont="1" applyFill="1" applyBorder="1" applyAlignment="1">
      <alignment horizontal="center" vertical="center" wrapText="1"/>
    </xf>
    <xf numFmtId="3" fontId="8" fillId="4" borderId="7" xfId="2" applyNumberFormat="1" applyFont="1" applyFill="1" applyBorder="1" applyAlignment="1">
      <alignment horizontal="right" vertical="center" wrapText="1"/>
    </xf>
    <xf numFmtId="0" fontId="20" fillId="4" borderId="7" xfId="2" applyFont="1" applyFill="1" applyBorder="1" applyAlignment="1">
      <alignment horizontal="right" vertical="center" wrapText="1"/>
    </xf>
    <xf numFmtId="3" fontId="20" fillId="4" borderId="18" xfId="2" applyNumberFormat="1" applyFont="1" applyFill="1" applyBorder="1" applyAlignment="1">
      <alignment horizontal="right" vertical="center" wrapText="1"/>
    </xf>
    <xf numFmtId="3" fontId="21" fillId="4" borderId="10" xfId="2" applyNumberFormat="1" applyFont="1" applyFill="1" applyBorder="1" applyAlignment="1">
      <alignment horizontal="right" vertical="center" wrapText="1"/>
    </xf>
    <xf numFmtId="3" fontId="8" fillId="4" borderId="7" xfId="2" applyNumberFormat="1" applyFont="1" applyFill="1" applyBorder="1" applyAlignment="1">
      <alignment horizontal="center" vertical="center" wrapText="1"/>
    </xf>
    <xf numFmtId="3" fontId="8" fillId="4" borderId="27" xfId="2" applyNumberFormat="1" applyFont="1" applyFill="1" applyBorder="1" applyAlignment="1">
      <alignment horizontal="center" vertical="center" wrapText="1"/>
    </xf>
    <xf numFmtId="0" fontId="5" fillId="5" borderId="3" xfId="2" applyFont="1" applyFill="1" applyBorder="1" applyAlignment="1">
      <alignment horizontal="center" vertical="center"/>
    </xf>
    <xf numFmtId="3" fontId="8" fillId="5" borderId="4" xfId="2" applyNumberFormat="1" applyFont="1" applyFill="1" applyBorder="1" applyAlignment="1">
      <alignment horizontal="right" vertical="center" wrapText="1"/>
    </xf>
    <xf numFmtId="3" fontId="5" fillId="5" borderId="3" xfId="2" applyNumberFormat="1" applyFont="1" applyFill="1" applyBorder="1" applyAlignment="1">
      <alignment horizontal="center" vertical="center" wrapText="1"/>
    </xf>
    <xf numFmtId="3" fontId="8" fillId="5" borderId="6" xfId="2" applyNumberFormat="1" applyFont="1" applyFill="1" applyBorder="1" applyAlignment="1">
      <alignment horizontal="right" vertical="center" wrapText="1"/>
    </xf>
    <xf numFmtId="0" fontId="8" fillId="5" borderId="2" xfId="2" applyFont="1" applyFill="1" applyBorder="1" applyAlignment="1">
      <alignment vertical="center"/>
    </xf>
    <xf numFmtId="3" fontId="9" fillId="5" borderId="4" xfId="2" applyNumberFormat="1" applyFont="1" applyFill="1" applyBorder="1" applyAlignment="1">
      <alignment horizontal="center" vertical="center" wrapText="1"/>
    </xf>
    <xf numFmtId="0" fontId="9" fillId="5" borderId="4" xfId="2" applyFont="1" applyFill="1" applyBorder="1" applyAlignment="1">
      <alignment horizontal="left" vertical="center"/>
    </xf>
    <xf numFmtId="3" fontId="11" fillId="5" borderId="4" xfId="2" applyNumberFormat="1" applyFont="1" applyFill="1" applyBorder="1" applyAlignment="1">
      <alignment horizontal="right" vertical="center" wrapText="1"/>
    </xf>
    <xf numFmtId="3" fontId="5" fillId="5" borderId="2" xfId="2" applyNumberFormat="1" applyFont="1" applyFill="1" applyBorder="1" applyAlignment="1">
      <alignment vertical="center" wrapText="1"/>
    </xf>
    <xf numFmtId="3" fontId="11" fillId="5" borderId="6" xfId="2" applyNumberFormat="1" applyFont="1" applyFill="1" applyBorder="1" applyAlignment="1">
      <alignment horizontal="right" vertical="center" wrapText="1"/>
    </xf>
    <xf numFmtId="0" fontId="8" fillId="5" borderId="11" xfId="2" applyFont="1" applyFill="1" applyBorder="1" applyAlignment="1">
      <alignment vertical="center"/>
    </xf>
    <xf numFmtId="3" fontId="9" fillId="5" borderId="7" xfId="2" applyNumberFormat="1" applyFont="1" applyFill="1" applyBorder="1" applyAlignment="1">
      <alignment horizontal="center" vertical="center" wrapText="1"/>
    </xf>
    <xf numFmtId="0" fontId="9" fillId="5" borderId="7" xfId="2" applyFont="1" applyFill="1" applyBorder="1" applyAlignment="1">
      <alignment horizontal="left" vertical="center"/>
    </xf>
    <xf numFmtId="3" fontId="11" fillId="5" borderId="7" xfId="2" applyNumberFormat="1" applyFont="1" applyFill="1" applyBorder="1" applyAlignment="1">
      <alignment horizontal="right" vertical="center" wrapText="1"/>
    </xf>
    <xf numFmtId="3" fontId="5" fillId="5" borderId="11" xfId="2" applyNumberFormat="1" applyFont="1" applyFill="1" applyBorder="1" applyAlignment="1">
      <alignment vertical="center" wrapText="1"/>
    </xf>
    <xf numFmtId="3" fontId="11" fillId="5" borderId="10" xfId="2" applyNumberFormat="1" applyFont="1" applyFill="1" applyBorder="1" applyAlignment="1">
      <alignment horizontal="right" vertical="center" wrapText="1"/>
    </xf>
    <xf numFmtId="0" fontId="5" fillId="5" borderId="3" xfId="0" applyFont="1" applyFill="1" applyBorder="1" applyAlignment="1">
      <alignment horizontal="center" vertical="center"/>
    </xf>
    <xf numFmtId="3" fontId="8" fillId="5" borderId="4" xfId="0" applyNumberFormat="1" applyFont="1" applyFill="1" applyBorder="1" applyAlignment="1">
      <alignment horizontal="right" vertical="center" wrapText="1"/>
    </xf>
    <xf numFmtId="3" fontId="5" fillId="5" borderId="3" xfId="0" applyNumberFormat="1" applyFont="1" applyFill="1" applyBorder="1" applyAlignment="1">
      <alignment horizontal="center" vertical="center" wrapText="1"/>
    </xf>
    <xf numFmtId="3" fontId="8" fillId="5" borderId="6" xfId="0" applyNumberFormat="1" applyFont="1" applyFill="1" applyBorder="1" applyAlignment="1">
      <alignment horizontal="right" vertical="center" wrapText="1"/>
    </xf>
    <xf numFmtId="0" fontId="8" fillId="5" borderId="2" xfId="0" applyFont="1" applyFill="1" applyBorder="1" applyAlignment="1">
      <alignment vertical="center"/>
    </xf>
    <xf numFmtId="3" fontId="9" fillId="5" borderId="4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left" vertical="center"/>
    </xf>
    <xf numFmtId="3" fontId="11" fillId="5" borderId="4" xfId="0" applyNumberFormat="1" applyFont="1" applyFill="1" applyBorder="1" applyAlignment="1">
      <alignment horizontal="right" vertical="center" wrapText="1"/>
    </xf>
    <xf numFmtId="3" fontId="5" fillId="5" borderId="2" xfId="0" applyNumberFormat="1" applyFont="1" applyFill="1" applyBorder="1" applyAlignment="1">
      <alignment vertical="center" wrapText="1"/>
    </xf>
    <xf numFmtId="3" fontId="11" fillId="5" borderId="6" xfId="0" applyNumberFormat="1" applyFont="1" applyFill="1" applyBorder="1" applyAlignment="1">
      <alignment horizontal="right" vertical="center" wrapText="1"/>
    </xf>
    <xf numFmtId="0" fontId="8" fillId="5" borderId="11" xfId="0" applyFont="1" applyFill="1" applyBorder="1" applyAlignment="1">
      <alignment vertical="center"/>
    </xf>
    <xf numFmtId="3" fontId="9" fillId="5" borderId="7" xfId="0" applyNumberFormat="1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left" vertical="center"/>
    </xf>
    <xf numFmtId="3" fontId="11" fillId="5" borderId="7" xfId="0" applyNumberFormat="1" applyFont="1" applyFill="1" applyBorder="1" applyAlignment="1">
      <alignment horizontal="right" vertical="center" wrapText="1"/>
    </xf>
    <xf numFmtId="3" fontId="5" fillId="5" borderId="11" xfId="0" applyNumberFormat="1" applyFont="1" applyFill="1" applyBorder="1" applyAlignment="1">
      <alignment vertical="center" wrapText="1"/>
    </xf>
    <xf numFmtId="3" fontId="11" fillId="5" borderId="10" xfId="0" applyNumberFormat="1" applyFont="1" applyFill="1" applyBorder="1" applyAlignment="1">
      <alignment horizontal="right" vertical="center" wrapText="1"/>
    </xf>
    <xf numFmtId="3" fontId="20" fillId="4" borderId="23" xfId="0" applyNumberFormat="1" applyFont="1" applyFill="1" applyBorder="1" applyAlignment="1">
      <alignment vertical="center" wrapText="1"/>
    </xf>
    <xf numFmtId="3" fontId="20" fillId="4" borderId="7" xfId="0" applyNumberFormat="1" applyFont="1" applyFill="1" applyBorder="1" applyAlignment="1">
      <alignment vertical="center" wrapText="1"/>
    </xf>
    <xf numFmtId="3" fontId="20" fillId="4" borderId="18" xfId="0" applyNumberFormat="1" applyFont="1" applyFill="1" applyBorder="1" applyAlignment="1">
      <alignment vertical="center" wrapText="1"/>
    </xf>
    <xf numFmtId="3" fontId="20" fillId="4" borderId="7" xfId="0" applyNumberFormat="1" applyFont="1" applyFill="1" applyBorder="1" applyAlignment="1">
      <alignment horizontal="right" vertical="center" wrapText="1"/>
    </xf>
    <xf numFmtId="3" fontId="20" fillId="4" borderId="10" xfId="0" applyNumberFormat="1" applyFont="1" applyFill="1" applyBorder="1" applyAlignment="1">
      <alignment horizontal="right" vertical="center" wrapText="1"/>
    </xf>
    <xf numFmtId="0" fontId="20" fillId="4" borderId="7" xfId="0" applyFont="1" applyFill="1" applyBorder="1" applyAlignment="1">
      <alignment horizontal="left" vertical="center" wrapText="1"/>
    </xf>
    <xf numFmtId="3" fontId="8" fillId="4" borderId="7" xfId="0" applyNumberFormat="1" applyFont="1" applyFill="1" applyBorder="1" applyAlignment="1">
      <alignment horizontal="right" vertical="center" wrapText="1"/>
    </xf>
    <xf numFmtId="0" fontId="20" fillId="4" borderId="7" xfId="0" applyFont="1" applyFill="1" applyBorder="1" applyAlignment="1">
      <alignment horizontal="right" vertical="center" wrapText="1"/>
    </xf>
    <xf numFmtId="3" fontId="20" fillId="4" borderId="18" xfId="0" applyNumberFormat="1" applyFont="1" applyFill="1" applyBorder="1" applyAlignment="1">
      <alignment horizontal="right" vertical="center" wrapText="1"/>
    </xf>
    <xf numFmtId="3" fontId="21" fillId="4" borderId="10" xfId="0" applyNumberFormat="1" applyFont="1" applyFill="1" applyBorder="1" applyAlignment="1">
      <alignment horizontal="right" vertical="center" wrapText="1"/>
    </xf>
    <xf numFmtId="3" fontId="8" fillId="4" borderId="23" xfId="0" applyNumberFormat="1" applyFont="1" applyFill="1" applyBorder="1" applyAlignment="1">
      <alignment horizontal="right" vertical="center" wrapText="1"/>
    </xf>
    <xf numFmtId="3" fontId="8" fillId="4" borderId="10" xfId="0" applyNumberFormat="1" applyFont="1" applyFill="1" applyBorder="1" applyAlignment="1">
      <alignment horizontal="right" vertical="center" wrapText="1"/>
    </xf>
    <xf numFmtId="3" fontId="8" fillId="4" borderId="21" xfId="0" applyNumberFormat="1" applyFont="1" applyFill="1" applyBorder="1" applyAlignment="1">
      <alignment horizontal="right" vertical="center" wrapText="1"/>
    </xf>
    <xf numFmtId="3" fontId="8" fillId="4" borderId="27" xfId="0" applyNumberFormat="1" applyFont="1" applyFill="1" applyBorder="1" applyAlignment="1">
      <alignment horizontal="right" vertical="center" wrapText="1"/>
    </xf>
    <xf numFmtId="164" fontId="20" fillId="4" borderId="7" xfId="2" applyNumberFormat="1" applyFont="1" applyFill="1" applyBorder="1" applyAlignment="1">
      <alignment horizontal="right" vertical="center" wrapText="1"/>
    </xf>
    <xf numFmtId="3" fontId="8" fillId="4" borderId="21" xfId="2" applyNumberFormat="1" applyFont="1" applyFill="1" applyBorder="1" applyAlignment="1">
      <alignment horizontal="right" vertical="center" wrapText="1"/>
    </xf>
    <xf numFmtId="3" fontId="6" fillId="0" borderId="0" xfId="2" applyNumberFormat="1" applyFont="1"/>
    <xf numFmtId="164" fontId="5" fillId="4" borderId="7" xfId="0" applyNumberFormat="1" applyFont="1" applyFill="1" applyBorder="1" applyAlignment="1">
      <alignment horizontal="right" vertical="center" wrapText="1"/>
    </xf>
    <xf numFmtId="3" fontId="5" fillId="4" borderId="7" xfId="0" applyNumberFormat="1" applyFont="1" applyFill="1" applyBorder="1" applyAlignment="1">
      <alignment horizontal="right" vertical="center" wrapText="1"/>
    </xf>
    <xf numFmtId="0" fontId="6" fillId="0" borderId="4" xfId="8" applyFont="1" applyBorder="1" applyAlignment="1">
      <alignment horizontal="center" vertical="center"/>
    </xf>
    <xf numFmtId="0" fontId="27" fillId="0" borderId="4" xfId="2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24" fillId="3" borderId="13" xfId="8" applyFont="1" applyFill="1" applyBorder="1" applyAlignment="1">
      <alignment horizontal="center" vertical="center"/>
    </xf>
    <xf numFmtId="3" fontId="19" fillId="3" borderId="0" xfId="0" applyNumberFormat="1" applyFont="1" applyFill="1"/>
    <xf numFmtId="0" fontId="27" fillId="3" borderId="4" xfId="8" applyFont="1" applyFill="1" applyBorder="1" applyAlignment="1">
      <alignment horizontal="center" vertical="center"/>
    </xf>
    <xf numFmtId="0" fontId="27" fillId="3" borderId="4" xfId="8" applyFont="1" applyFill="1" applyBorder="1" applyAlignment="1">
      <alignment horizontal="center" vertical="center" wrapText="1"/>
    </xf>
    <xf numFmtId="3" fontId="19" fillId="3" borderId="13" xfId="0" applyNumberFormat="1" applyFont="1" applyFill="1" applyBorder="1" applyAlignment="1">
      <alignment vertical="center"/>
    </xf>
    <xf numFmtId="0" fontId="31" fillId="3" borderId="4" xfId="0" applyFont="1" applyFill="1" applyBorder="1" applyAlignment="1">
      <alignment horizontal="center" vertical="center"/>
    </xf>
    <xf numFmtId="3" fontId="23" fillId="4" borderId="21" xfId="2" applyNumberFormat="1" applyFont="1" applyFill="1" applyBorder="1" applyAlignment="1">
      <alignment vertical="center"/>
    </xf>
    <xf numFmtId="3" fontId="23" fillId="4" borderId="27" xfId="2" applyNumberFormat="1" applyFont="1" applyFill="1" applyBorder="1" applyAlignment="1">
      <alignment vertical="center"/>
    </xf>
    <xf numFmtId="0" fontId="5" fillId="5" borderId="13" xfId="8" applyFont="1" applyFill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5" fillId="0" borderId="0" xfId="0" applyFont="1" applyAlignment="1">
      <alignment horizontal="centerContinuous" shrinkToFit="1"/>
    </xf>
    <xf numFmtId="3" fontId="24" fillId="0" borderId="31" xfId="0" applyNumberFormat="1" applyFont="1" applyBorder="1" applyAlignment="1">
      <alignment vertical="center"/>
    </xf>
    <xf numFmtId="0" fontId="24" fillId="0" borderId="49" xfId="0" applyFont="1" applyBorder="1" applyAlignment="1">
      <alignment horizontal="center" vertical="center"/>
    </xf>
    <xf numFmtId="3" fontId="24" fillId="0" borderId="5" xfId="0" applyNumberFormat="1" applyFont="1" applyBorder="1" applyAlignment="1">
      <alignment vertical="center"/>
    </xf>
    <xf numFmtId="3" fontId="24" fillId="0" borderId="62" xfId="0" applyNumberFormat="1" applyFont="1" applyBorder="1" applyAlignment="1">
      <alignment vertical="center"/>
    </xf>
    <xf numFmtId="0" fontId="24" fillId="0" borderId="3" xfId="8" applyFont="1" applyBorder="1" applyAlignment="1">
      <alignment horizontal="center" vertical="center"/>
    </xf>
    <xf numFmtId="3" fontId="5" fillId="4" borderId="66" xfId="0" applyNumberFormat="1" applyFont="1" applyFill="1" applyBorder="1" applyAlignment="1">
      <alignment vertical="center"/>
    </xf>
    <xf numFmtId="3" fontId="5" fillId="4" borderId="67" xfId="0" applyNumberFormat="1" applyFont="1" applyFill="1" applyBorder="1" applyAlignment="1">
      <alignment vertical="center"/>
    </xf>
    <xf numFmtId="0" fontId="32" fillId="6" borderId="0" xfId="0" applyFont="1" applyFill="1" applyAlignment="1">
      <alignment horizontal="center"/>
    </xf>
    <xf numFmtId="0" fontId="5" fillId="6" borderId="0" xfId="0" applyFont="1" applyFill="1" applyAlignment="1">
      <alignment vertical="center" shrinkToFit="1"/>
    </xf>
    <xf numFmtId="0" fontId="24" fillId="0" borderId="0" xfId="0" applyFont="1" applyAlignment="1">
      <alignment shrinkToFit="1"/>
    </xf>
    <xf numFmtId="3" fontId="6" fillId="0" borderId="0" xfId="0" applyNumberFormat="1" applyFont="1"/>
    <xf numFmtId="0" fontId="33" fillId="0" borderId="0" xfId="0" applyFont="1" applyAlignment="1">
      <alignment shrinkToFit="1"/>
    </xf>
    <xf numFmtId="3" fontId="24" fillId="3" borderId="4" xfId="0" applyNumberFormat="1" applyFont="1" applyFill="1" applyBorder="1" applyAlignment="1">
      <alignment horizontal="right" vertical="center"/>
    </xf>
    <xf numFmtId="3" fontId="24" fillId="3" borderId="31" xfId="0" applyNumberFormat="1" applyFont="1" applyFill="1" applyBorder="1" applyAlignment="1">
      <alignment horizontal="right" vertical="center"/>
    </xf>
    <xf numFmtId="0" fontId="24" fillId="0" borderId="1" xfId="0" applyFont="1" applyBorder="1" applyAlignment="1">
      <alignment horizontal="center" vertical="center"/>
    </xf>
    <xf numFmtId="3" fontId="24" fillId="3" borderId="13" xfId="0" applyNumberFormat="1" applyFont="1" applyFill="1" applyBorder="1" applyAlignment="1">
      <alignment horizontal="right" vertical="center"/>
    </xf>
    <xf numFmtId="3" fontId="5" fillId="3" borderId="4" xfId="0" applyNumberFormat="1" applyFont="1" applyFill="1" applyBorder="1" applyAlignment="1">
      <alignment vertical="center"/>
    </xf>
    <xf numFmtId="3" fontId="5" fillId="7" borderId="65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3" fontId="19" fillId="0" borderId="4" xfId="0" applyNumberFormat="1" applyFont="1" applyBorder="1" applyAlignment="1">
      <alignment vertical="center"/>
    </xf>
    <xf numFmtId="3" fontId="19" fillId="0" borderId="19" xfId="0" applyNumberFormat="1" applyFont="1" applyBorder="1" applyAlignment="1">
      <alignment horizontal="right" vertical="center"/>
    </xf>
    <xf numFmtId="3" fontId="19" fillId="0" borderId="31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5" fillId="4" borderId="46" xfId="0" applyNumberFormat="1" applyFont="1" applyFill="1" applyBorder="1" applyAlignment="1">
      <alignment horizontal="right" vertical="center"/>
    </xf>
    <xf numFmtId="3" fontId="5" fillId="4" borderId="48" xfId="0" applyNumberFormat="1" applyFont="1" applyFill="1" applyBorder="1" applyAlignment="1">
      <alignment horizontal="right" vertical="center"/>
    </xf>
    <xf numFmtId="0" fontId="36" fillId="0" borderId="0" xfId="0" applyFont="1" applyAlignment="1">
      <alignment shrinkToFit="1"/>
    </xf>
    <xf numFmtId="3" fontId="24" fillId="3" borderId="16" xfId="8" applyNumberFormat="1" applyFont="1" applyFill="1" applyBorder="1" applyAlignment="1">
      <alignment vertical="center" wrapText="1"/>
    </xf>
    <xf numFmtId="3" fontId="24" fillId="3" borderId="22" xfId="8" applyNumberFormat="1" applyFont="1" applyFill="1" applyBorder="1" applyAlignment="1">
      <alignment horizontal="right" vertical="center" wrapText="1"/>
    </xf>
    <xf numFmtId="3" fontId="24" fillId="3" borderId="5" xfId="8" applyNumberFormat="1" applyFont="1" applyFill="1" applyBorder="1" applyAlignment="1">
      <alignment vertical="center" wrapText="1"/>
    </xf>
    <xf numFmtId="3" fontId="24" fillId="3" borderId="4" xfId="8" applyNumberFormat="1" applyFont="1" applyFill="1" applyBorder="1" applyAlignment="1">
      <alignment horizontal="right" vertical="center" wrapText="1"/>
    </xf>
    <xf numFmtId="3" fontId="24" fillId="3" borderId="62" xfId="8" applyNumberFormat="1" applyFont="1" applyFill="1" applyBorder="1" applyAlignment="1">
      <alignment vertical="center" wrapText="1"/>
    </xf>
    <xf numFmtId="3" fontId="25" fillId="0" borderId="0" xfId="0" applyNumberFormat="1" applyFont="1"/>
    <xf numFmtId="3" fontId="24" fillId="3" borderId="13" xfId="8" applyNumberFormat="1" applyFont="1" applyFill="1" applyBorder="1" applyAlignment="1">
      <alignment horizontal="right" vertical="center" wrapText="1"/>
    </xf>
    <xf numFmtId="3" fontId="26" fillId="0" borderId="0" xfId="0" applyNumberFormat="1" applyFont="1"/>
    <xf numFmtId="16" fontId="24" fillId="3" borderId="3" xfId="8" applyNumberFormat="1" applyFont="1" applyFill="1" applyBorder="1" applyAlignment="1">
      <alignment horizontal="center" vertical="center"/>
    </xf>
    <xf numFmtId="3" fontId="19" fillId="0" borderId="19" xfId="0" applyNumberFormat="1" applyFont="1" applyBorder="1" applyAlignment="1">
      <alignment vertical="center"/>
    </xf>
    <xf numFmtId="0" fontId="24" fillId="0" borderId="5" xfId="0" applyFont="1" applyBorder="1" applyAlignment="1">
      <alignment vertical="center" shrinkToFit="1"/>
    </xf>
    <xf numFmtId="0" fontId="24" fillId="0" borderId="5" xfId="0" applyFont="1" applyBorder="1" applyAlignment="1">
      <alignment horizontal="left" vertical="center" shrinkToFit="1"/>
    </xf>
    <xf numFmtId="0" fontId="24" fillId="0" borderId="62" xfId="0" applyFont="1" applyBorder="1" applyAlignment="1">
      <alignment vertical="center" shrinkToFit="1"/>
    </xf>
    <xf numFmtId="0" fontId="24" fillId="0" borderId="61" xfId="8" applyFont="1" applyBorder="1" applyAlignment="1">
      <alignment horizontal="center" vertical="center"/>
    </xf>
    <xf numFmtId="0" fontId="27" fillId="0" borderId="28" xfId="8" applyFont="1" applyBorder="1" applyAlignment="1">
      <alignment horizontal="left" vertical="center" wrapText="1"/>
    </xf>
    <xf numFmtId="3" fontId="24" fillId="0" borderId="28" xfId="0" applyNumberFormat="1" applyFont="1" applyBorder="1" applyAlignment="1">
      <alignment vertical="center"/>
    </xf>
    <xf numFmtId="3" fontId="24" fillId="0" borderId="20" xfId="0" applyNumberFormat="1" applyFont="1" applyBorder="1" applyAlignment="1">
      <alignment vertical="center"/>
    </xf>
    <xf numFmtId="3" fontId="24" fillId="0" borderId="26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horizontal="right" vertical="center"/>
    </xf>
    <xf numFmtId="3" fontId="5" fillId="7" borderId="7" xfId="0" applyNumberFormat="1" applyFont="1" applyFill="1" applyBorder="1" applyAlignment="1">
      <alignment horizontal="right" vertical="center"/>
    </xf>
    <xf numFmtId="3" fontId="8" fillId="4" borderId="47" xfId="0" applyNumberFormat="1" applyFont="1" applyFill="1" applyBorder="1" applyAlignment="1">
      <alignment horizontal="center" vertical="center" wrapText="1"/>
    </xf>
    <xf numFmtId="0" fontId="5" fillId="4" borderId="69" xfId="0" applyFont="1" applyFill="1" applyBorder="1" applyAlignment="1">
      <alignment horizontal="center" vertical="center" textRotation="90"/>
    </xf>
    <xf numFmtId="0" fontId="5" fillId="4" borderId="46" xfId="0" applyFont="1" applyFill="1" applyBorder="1" applyAlignment="1">
      <alignment horizontal="center" vertical="center"/>
    </xf>
    <xf numFmtId="3" fontId="8" fillId="4" borderId="66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19" fillId="3" borderId="5" xfId="8" applyFont="1" applyFill="1" applyBorder="1" applyAlignment="1">
      <alignment vertical="center" shrinkToFit="1"/>
    </xf>
    <xf numFmtId="0" fontId="24" fillId="0" borderId="5" xfId="8" applyFont="1" applyBorder="1" applyAlignment="1">
      <alignment vertical="center" shrinkToFit="1"/>
    </xf>
    <xf numFmtId="0" fontId="28" fillId="0" borderId="5" xfId="8" applyFont="1" applyBorder="1" applyAlignment="1">
      <alignment vertical="center"/>
    </xf>
    <xf numFmtId="0" fontId="27" fillId="0" borderId="5" xfId="8" applyFont="1" applyBorder="1" applyAlignment="1">
      <alignment vertical="center" wrapText="1"/>
    </xf>
    <xf numFmtId="3" fontId="11" fillId="3" borderId="19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7" xfId="0" applyFont="1" applyBorder="1" applyAlignment="1">
      <alignment vertical="center" shrinkToFit="1"/>
    </xf>
    <xf numFmtId="0" fontId="24" fillId="0" borderId="4" xfId="0" applyFont="1" applyBorder="1" applyAlignment="1">
      <alignment vertical="center" shrinkToFit="1"/>
    </xf>
    <xf numFmtId="3" fontId="24" fillId="0" borderId="6" xfId="0" applyNumberFormat="1" applyFont="1" applyBorder="1" applyAlignment="1">
      <alignment vertical="center"/>
    </xf>
    <xf numFmtId="0" fontId="24" fillId="0" borderId="12" xfId="8" applyFont="1" applyBorder="1" applyAlignment="1">
      <alignment horizontal="center" vertical="center"/>
    </xf>
    <xf numFmtId="3" fontId="24" fillId="0" borderId="7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3" fontId="24" fillId="3" borderId="22" xfId="0" applyNumberFormat="1" applyFont="1" applyFill="1" applyBorder="1" applyAlignment="1">
      <alignment horizontal="right" vertical="center"/>
    </xf>
    <xf numFmtId="3" fontId="24" fillId="3" borderId="22" xfId="0" applyNumberFormat="1" applyFont="1" applyFill="1" applyBorder="1" applyAlignment="1">
      <alignment vertical="center"/>
    </xf>
    <xf numFmtId="0" fontId="24" fillId="0" borderId="68" xfId="0" applyFont="1" applyBorder="1" applyAlignment="1">
      <alignment horizontal="center" vertical="center"/>
    </xf>
    <xf numFmtId="3" fontId="5" fillId="7" borderId="17" xfId="0" applyNumberFormat="1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0" fontId="24" fillId="0" borderId="32" xfId="0" applyFont="1" applyBorder="1" applyAlignment="1">
      <alignment vertical="center" wrapText="1"/>
    </xf>
    <xf numFmtId="3" fontId="24" fillId="3" borderId="4" xfId="8" applyNumberFormat="1" applyFont="1" applyFill="1" applyBorder="1" applyAlignment="1">
      <alignment vertical="center" wrapText="1"/>
    </xf>
    <xf numFmtId="3" fontId="5" fillId="4" borderId="62" xfId="0" applyNumberFormat="1" applyFont="1" applyFill="1" applyBorder="1" applyAlignment="1">
      <alignment horizontal="right" vertical="center"/>
    </xf>
    <xf numFmtId="3" fontId="5" fillId="4" borderId="8" xfId="0" applyNumberFormat="1" applyFont="1" applyFill="1" applyBorder="1" applyAlignment="1">
      <alignment horizontal="right" vertical="center"/>
    </xf>
    <xf numFmtId="0" fontId="24" fillId="3" borderId="4" xfId="8" applyFont="1" applyFill="1" applyBorder="1" applyAlignment="1">
      <alignment horizontal="left" vertical="center" wrapText="1"/>
    </xf>
    <xf numFmtId="16" fontId="24" fillId="0" borderId="49" xfId="8" applyNumberFormat="1" applyFont="1" applyBorder="1" applyAlignment="1">
      <alignment horizontal="center" vertical="center"/>
    </xf>
    <xf numFmtId="3" fontId="24" fillId="3" borderId="6" xfId="8" applyNumberFormat="1" applyFont="1" applyFill="1" applyBorder="1" applyAlignment="1">
      <alignment horizontal="right" vertical="center" wrapText="1"/>
    </xf>
    <xf numFmtId="3" fontId="5" fillId="4" borderId="7" xfId="0" applyNumberFormat="1" applyFont="1" applyFill="1" applyBorder="1" applyAlignment="1">
      <alignment horizontal="right" vertical="center"/>
    </xf>
    <xf numFmtId="3" fontId="5" fillId="4" borderId="67" xfId="0" applyNumberFormat="1" applyFont="1" applyFill="1" applyBorder="1" applyAlignment="1">
      <alignment horizontal="right" vertical="center"/>
    </xf>
    <xf numFmtId="49" fontId="8" fillId="5" borderId="13" xfId="2" applyNumberFormat="1" applyFont="1" applyFill="1" applyBorder="1" applyAlignment="1">
      <alignment horizontal="center" vertical="center" wrapText="1"/>
    </xf>
    <xf numFmtId="49" fontId="8" fillId="5" borderId="32" xfId="2" applyNumberFormat="1" applyFont="1" applyFill="1" applyBorder="1" applyAlignment="1">
      <alignment horizontal="center" vertical="center" wrapText="1"/>
    </xf>
    <xf numFmtId="49" fontId="8" fillId="5" borderId="21" xfId="2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5" fillId="0" borderId="28" xfId="2" applyFont="1" applyBorder="1" applyAlignment="1">
      <alignment horizontal="left" vertical="center" wrapText="1"/>
    </xf>
    <xf numFmtId="0" fontId="5" fillId="0" borderId="34" xfId="2" applyFont="1" applyBorder="1" applyAlignment="1">
      <alignment horizontal="left" vertical="center" wrapText="1"/>
    </xf>
    <xf numFmtId="0" fontId="5" fillId="0" borderId="25" xfId="2" applyFont="1" applyBorder="1" applyAlignment="1">
      <alignment horizontal="left" vertical="center" wrapText="1"/>
    </xf>
    <xf numFmtId="49" fontId="8" fillId="0" borderId="13" xfId="2" applyNumberFormat="1" applyFont="1" applyBorder="1" applyAlignment="1">
      <alignment horizontal="center" vertical="center"/>
    </xf>
    <xf numFmtId="49" fontId="8" fillId="0" borderId="32" xfId="2" applyNumberFormat="1" applyFont="1" applyBorder="1" applyAlignment="1">
      <alignment horizontal="center" vertical="center"/>
    </xf>
    <xf numFmtId="0" fontId="5" fillId="5" borderId="5" xfId="2" applyFont="1" applyFill="1" applyBorder="1" applyAlignment="1">
      <alignment horizontal="left" vertical="center" wrapText="1"/>
    </xf>
    <xf numFmtId="0" fontId="5" fillId="5" borderId="41" xfId="2" applyFont="1" applyFill="1" applyBorder="1" applyAlignment="1">
      <alignment horizontal="left" vertical="center" wrapText="1"/>
    </xf>
    <xf numFmtId="0" fontId="5" fillId="5" borderId="19" xfId="2" applyFont="1" applyFill="1" applyBorder="1" applyAlignment="1">
      <alignment horizontal="left" vertical="center" wrapText="1"/>
    </xf>
    <xf numFmtId="0" fontId="5" fillId="4" borderId="35" xfId="2" applyFont="1" applyFill="1" applyBorder="1" applyAlignment="1">
      <alignment horizontal="left" vertical="center" wrapText="1"/>
    </xf>
    <xf numFmtId="0" fontId="5" fillId="4" borderId="18" xfId="2" applyFont="1" applyFill="1" applyBorder="1" applyAlignment="1">
      <alignment horizontal="left" vertical="center" wrapText="1"/>
    </xf>
    <xf numFmtId="0" fontId="5" fillId="4" borderId="23" xfId="2" applyFont="1" applyFill="1" applyBorder="1" applyAlignment="1">
      <alignment horizontal="left" vertical="center" wrapText="1"/>
    </xf>
    <xf numFmtId="0" fontId="5" fillId="2" borderId="5" xfId="2" applyFont="1" applyFill="1" applyBorder="1" applyAlignment="1">
      <alignment horizontal="left" vertical="center"/>
    </xf>
    <xf numFmtId="0" fontId="5" fillId="2" borderId="41" xfId="2" applyFont="1" applyFill="1" applyBorder="1" applyAlignment="1">
      <alignment horizontal="left" vertical="center"/>
    </xf>
    <xf numFmtId="0" fontId="5" fillId="2" borderId="19" xfId="2" applyFont="1" applyFill="1" applyBorder="1" applyAlignment="1">
      <alignment horizontal="left" vertical="center"/>
    </xf>
    <xf numFmtId="49" fontId="7" fillId="2" borderId="13" xfId="2" applyNumberFormat="1" applyFont="1" applyFill="1" applyBorder="1" applyAlignment="1">
      <alignment horizontal="center" vertical="center" wrapText="1"/>
    </xf>
    <xf numFmtId="49" fontId="7" fillId="2" borderId="32" xfId="2" applyNumberFormat="1" applyFont="1" applyFill="1" applyBorder="1" applyAlignment="1">
      <alignment horizontal="center" vertical="center" wrapText="1"/>
    </xf>
    <xf numFmtId="49" fontId="7" fillId="2" borderId="19" xfId="2" applyNumberFormat="1" applyFont="1" applyFill="1" applyBorder="1" applyAlignment="1">
      <alignment horizontal="center" vertical="center" wrapText="1"/>
    </xf>
    <xf numFmtId="49" fontId="7" fillId="2" borderId="24" xfId="2" applyNumberFormat="1" applyFont="1" applyFill="1" applyBorder="1" applyAlignment="1">
      <alignment horizontal="center" vertical="center" wrapText="1"/>
    </xf>
    <xf numFmtId="0" fontId="20" fillId="4" borderId="12" xfId="2" applyFont="1" applyFill="1" applyBorder="1" applyAlignment="1">
      <alignment horizontal="left" vertical="center" wrapText="1"/>
    </xf>
    <xf numFmtId="0" fontId="20" fillId="4" borderId="7" xfId="2" applyFont="1" applyFill="1" applyBorder="1" applyAlignment="1">
      <alignment horizontal="left" vertical="center" wrapText="1"/>
    </xf>
    <xf numFmtId="0" fontId="5" fillId="2" borderId="16" xfId="2" applyFont="1" applyFill="1" applyBorder="1" applyAlignment="1">
      <alignment horizontal="left" vertical="center" wrapText="1"/>
    </xf>
    <xf numFmtId="0" fontId="5" fillId="2" borderId="29" xfId="2" applyFont="1" applyFill="1" applyBorder="1" applyAlignment="1">
      <alignment horizontal="left" vertical="center" wrapText="1"/>
    </xf>
    <xf numFmtId="0" fontId="5" fillId="2" borderId="30" xfId="2" applyFont="1" applyFill="1" applyBorder="1" applyAlignment="1">
      <alignment horizontal="left" vertical="center" wrapText="1"/>
    </xf>
    <xf numFmtId="0" fontId="5" fillId="2" borderId="25" xfId="2" applyFont="1" applyFill="1" applyBorder="1" applyAlignment="1">
      <alignment horizontal="left" vertical="center"/>
    </xf>
    <xf numFmtId="0" fontId="5" fillId="2" borderId="20" xfId="2" applyFont="1" applyFill="1" applyBorder="1" applyAlignment="1">
      <alignment horizontal="left" vertical="center"/>
    </xf>
    <xf numFmtId="49" fontId="8" fillId="2" borderId="13" xfId="2" applyNumberFormat="1" applyFont="1" applyFill="1" applyBorder="1" applyAlignment="1">
      <alignment horizontal="center" vertical="center" wrapText="1"/>
    </xf>
    <xf numFmtId="49" fontId="8" fillId="2" borderId="32" xfId="2" applyNumberFormat="1" applyFont="1" applyFill="1" applyBorder="1" applyAlignment="1">
      <alignment horizontal="center" vertical="center" wrapText="1"/>
    </xf>
    <xf numFmtId="49" fontId="8" fillId="2" borderId="22" xfId="2" applyNumberFormat="1" applyFont="1" applyFill="1" applyBorder="1" applyAlignment="1">
      <alignment horizontal="center" vertical="center" wrapText="1"/>
    </xf>
    <xf numFmtId="3" fontId="7" fillId="2" borderId="2" xfId="2" applyNumberFormat="1" applyFont="1" applyFill="1" applyBorder="1" applyAlignment="1">
      <alignment horizontal="center" vertical="top" wrapText="1"/>
    </xf>
    <xf numFmtId="3" fontId="7" fillId="2" borderId="1" xfId="2" applyNumberFormat="1" applyFont="1" applyFill="1" applyBorder="1" applyAlignment="1">
      <alignment horizontal="center" vertical="top" wrapText="1"/>
    </xf>
    <xf numFmtId="49" fontId="8" fillId="2" borderId="19" xfId="2" applyNumberFormat="1" applyFont="1" applyFill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8" fillId="0" borderId="5" xfId="2" applyFont="1" applyBorder="1" applyAlignment="1">
      <alignment horizontal="left" vertical="center" wrapText="1"/>
    </xf>
    <xf numFmtId="0" fontId="8" fillId="0" borderId="19" xfId="2" applyFont="1" applyBorder="1" applyAlignment="1">
      <alignment horizontal="left" vertical="center" wrapText="1"/>
    </xf>
    <xf numFmtId="3" fontId="8" fillId="0" borderId="13" xfId="2" applyNumberFormat="1" applyFont="1" applyBorder="1" applyAlignment="1">
      <alignment horizontal="center" vertical="center" wrapText="1"/>
    </xf>
    <xf numFmtId="3" fontId="8" fillId="0" borderId="32" xfId="2" applyNumberFormat="1" applyFont="1" applyBorder="1" applyAlignment="1">
      <alignment horizontal="center" vertical="center" wrapText="1"/>
    </xf>
    <xf numFmtId="3" fontId="8" fillId="0" borderId="22" xfId="2" applyNumberFormat="1" applyFont="1" applyBorder="1" applyAlignment="1">
      <alignment horizontal="center" vertical="center" wrapText="1"/>
    </xf>
    <xf numFmtId="0" fontId="8" fillId="0" borderId="5" xfId="2" applyFont="1" applyBorder="1" applyAlignment="1">
      <alignment horizontal="left" vertical="center"/>
    </xf>
    <xf numFmtId="0" fontId="8" fillId="0" borderId="19" xfId="2" applyFont="1" applyBorder="1" applyAlignment="1">
      <alignment horizontal="left" vertical="center"/>
    </xf>
    <xf numFmtId="0" fontId="8" fillId="0" borderId="4" xfId="2" applyFont="1" applyBorder="1" applyAlignment="1">
      <alignment horizontal="left" vertical="center" wrapText="1"/>
    </xf>
    <xf numFmtId="0" fontId="5" fillId="2" borderId="33" xfId="2" applyFont="1" applyFill="1" applyBorder="1" applyAlignment="1">
      <alignment horizontal="center" vertical="center" wrapText="1"/>
    </xf>
    <xf numFmtId="0" fontId="5" fillId="2" borderId="34" xfId="2" applyFont="1" applyFill="1" applyBorder="1" applyAlignment="1">
      <alignment horizontal="center" vertical="center" wrapText="1"/>
    </xf>
    <xf numFmtId="0" fontId="5" fillId="2" borderId="26" xfId="2" applyFont="1" applyFill="1" applyBorder="1" applyAlignment="1">
      <alignment horizontal="center" vertical="center" wrapText="1"/>
    </xf>
    <xf numFmtId="0" fontId="5" fillId="0" borderId="5" xfId="2" applyFont="1" applyBorder="1" applyAlignment="1">
      <alignment horizontal="left" vertical="center" wrapText="1"/>
    </xf>
    <xf numFmtId="0" fontId="5" fillId="0" borderId="41" xfId="2" applyFont="1" applyBorder="1" applyAlignment="1">
      <alignment horizontal="left" vertical="center" wrapText="1"/>
    </xf>
    <xf numFmtId="0" fontId="5" fillId="0" borderId="19" xfId="2" applyFont="1" applyBorder="1" applyAlignment="1">
      <alignment horizontal="left" vertical="center" wrapText="1"/>
    </xf>
    <xf numFmtId="0" fontId="5" fillId="0" borderId="5" xfId="2" applyFont="1" applyBorder="1" applyAlignment="1">
      <alignment horizontal="left" vertical="center"/>
    </xf>
    <xf numFmtId="0" fontId="5" fillId="0" borderId="41" xfId="2" applyFont="1" applyBorder="1" applyAlignment="1">
      <alignment horizontal="left" vertical="center"/>
    </xf>
    <xf numFmtId="0" fontId="5" fillId="0" borderId="19" xfId="2" applyFont="1" applyBorder="1" applyAlignment="1">
      <alignment horizontal="left" vertical="center"/>
    </xf>
    <xf numFmtId="0" fontId="7" fillId="0" borderId="5" xfId="2" applyFont="1" applyBorder="1" applyAlignment="1">
      <alignment horizontal="left" vertical="center" wrapText="1"/>
    </xf>
    <xf numFmtId="0" fontId="7" fillId="0" borderId="19" xfId="2" applyFont="1" applyBorder="1" applyAlignment="1">
      <alignment horizontal="left" vertical="center" wrapText="1"/>
    </xf>
    <xf numFmtId="0" fontId="20" fillId="4" borderId="35" xfId="2" applyFont="1" applyFill="1" applyBorder="1" applyAlignment="1">
      <alignment horizontal="left" vertical="center" wrapText="1"/>
    </xf>
    <xf numFmtId="0" fontId="20" fillId="4" borderId="18" xfId="2" applyFont="1" applyFill="1" applyBorder="1" applyAlignment="1">
      <alignment horizontal="left" vertical="center" wrapText="1"/>
    </xf>
    <xf numFmtId="0" fontId="20" fillId="4" borderId="23" xfId="2" applyFont="1" applyFill="1" applyBorder="1" applyAlignment="1">
      <alignment horizontal="left" vertical="center" wrapText="1"/>
    </xf>
    <xf numFmtId="0" fontId="8" fillId="0" borderId="4" xfId="2" applyFont="1" applyBorder="1" applyAlignment="1">
      <alignment horizontal="left" vertical="center"/>
    </xf>
    <xf numFmtId="0" fontId="6" fillId="0" borderId="36" xfId="2" applyFont="1" applyBorder="1" applyAlignment="1">
      <alignment horizontal="center" vertical="center"/>
    </xf>
    <xf numFmtId="0" fontId="6" fillId="0" borderId="37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38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39" xfId="2" applyFont="1" applyBorder="1" applyAlignment="1">
      <alignment horizontal="center" vertical="center"/>
    </xf>
    <xf numFmtId="0" fontId="6" fillId="0" borderId="40" xfId="2" applyFont="1" applyBorder="1" applyAlignment="1">
      <alignment horizontal="center" vertical="center"/>
    </xf>
    <xf numFmtId="0" fontId="6" fillId="0" borderId="29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0" fontId="5" fillId="2" borderId="30" xfId="2" applyFont="1" applyFill="1" applyBorder="1" applyAlignment="1">
      <alignment horizontal="left" vertical="center"/>
    </xf>
    <xf numFmtId="0" fontId="5" fillId="2" borderId="22" xfId="2" applyFont="1" applyFill="1" applyBorder="1" applyAlignment="1">
      <alignment horizontal="left" vertical="center"/>
    </xf>
    <xf numFmtId="49" fontId="13" fillId="2" borderId="13" xfId="2" applyNumberFormat="1" applyFont="1" applyFill="1" applyBorder="1" applyAlignment="1">
      <alignment horizontal="center" vertical="center" wrapText="1"/>
    </xf>
    <xf numFmtId="49" fontId="13" fillId="2" borderId="32" xfId="2" applyNumberFormat="1" applyFont="1" applyFill="1" applyBorder="1" applyAlignment="1">
      <alignment horizontal="center" vertical="center" wrapText="1"/>
    </xf>
    <xf numFmtId="49" fontId="13" fillId="2" borderId="22" xfId="2" applyNumberFormat="1" applyFont="1" applyFill="1" applyBorder="1" applyAlignment="1">
      <alignment horizontal="center" vertical="center" wrapText="1"/>
    </xf>
    <xf numFmtId="49" fontId="14" fillId="2" borderId="19" xfId="2" applyNumberFormat="1" applyFont="1" applyFill="1" applyBorder="1" applyAlignment="1">
      <alignment horizontal="center" vertical="center" wrapText="1"/>
    </xf>
    <xf numFmtId="0" fontId="5" fillId="0" borderId="16" xfId="2" applyFont="1" applyBorder="1" applyAlignment="1">
      <alignment horizontal="left" vertical="center"/>
    </xf>
    <xf numFmtId="0" fontId="5" fillId="0" borderId="29" xfId="2" applyFont="1" applyBorder="1" applyAlignment="1">
      <alignment horizontal="left" vertical="center"/>
    </xf>
    <xf numFmtId="0" fontId="5" fillId="0" borderId="30" xfId="2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2" fillId="0" borderId="0" xfId="2" applyFont="1" applyAlignment="1">
      <alignment horizontal="center"/>
    </xf>
    <xf numFmtId="0" fontId="15" fillId="4" borderId="33" xfId="2" applyFont="1" applyFill="1" applyBorder="1" applyAlignment="1">
      <alignment horizontal="center" vertical="center" wrapText="1"/>
    </xf>
    <xf numFmtId="0" fontId="15" fillId="4" borderId="34" xfId="2" applyFont="1" applyFill="1" applyBorder="1" applyAlignment="1">
      <alignment horizontal="center" vertical="center" wrapText="1"/>
    </xf>
    <xf numFmtId="0" fontId="15" fillId="4" borderId="26" xfId="2" applyFont="1" applyFill="1" applyBorder="1" applyAlignment="1">
      <alignment horizontal="center" vertical="center" wrapText="1"/>
    </xf>
    <xf numFmtId="0" fontId="9" fillId="4" borderId="17" xfId="2" applyFont="1" applyFill="1" applyBorder="1" applyAlignment="1">
      <alignment horizontal="center" vertical="center"/>
    </xf>
    <xf numFmtId="0" fontId="9" fillId="4" borderId="23" xfId="2" applyFont="1" applyFill="1" applyBorder="1" applyAlignment="1">
      <alignment horizontal="center" vertical="center"/>
    </xf>
    <xf numFmtId="3" fontId="7" fillId="4" borderId="17" xfId="2" applyNumberFormat="1" applyFont="1" applyFill="1" applyBorder="1" applyAlignment="1">
      <alignment horizontal="center" vertical="center" wrapText="1"/>
    </xf>
    <xf numFmtId="3" fontId="7" fillId="4" borderId="23" xfId="2" applyNumberFormat="1" applyFont="1" applyFill="1" applyBorder="1" applyAlignment="1">
      <alignment horizontal="center" vertical="center" wrapText="1"/>
    </xf>
    <xf numFmtId="0" fontId="8" fillId="0" borderId="0" xfId="2" applyFont="1" applyAlignment="1">
      <alignment horizontal="right"/>
    </xf>
    <xf numFmtId="49" fontId="8" fillId="5" borderId="13" xfId="0" applyNumberFormat="1" applyFont="1" applyFill="1" applyBorder="1" applyAlignment="1">
      <alignment horizontal="center" vertical="center" wrapText="1"/>
    </xf>
    <xf numFmtId="49" fontId="8" fillId="5" borderId="32" xfId="0" applyNumberFormat="1" applyFont="1" applyFill="1" applyBorder="1" applyAlignment="1">
      <alignment horizontal="center" vertical="center" wrapText="1"/>
    </xf>
    <xf numFmtId="49" fontId="8" fillId="5" borderId="2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0" fontId="5" fillId="5" borderId="5" xfId="0" applyFont="1" applyFill="1" applyBorder="1" applyAlignment="1">
      <alignment horizontal="left" vertical="center" wrapText="1"/>
    </xf>
    <xf numFmtId="0" fontId="5" fillId="5" borderId="41" xfId="0" applyFont="1" applyFill="1" applyBorder="1" applyAlignment="1">
      <alignment horizontal="left" vertical="center" wrapText="1"/>
    </xf>
    <xf numFmtId="0" fontId="5" fillId="5" borderId="19" xfId="0" applyFont="1" applyFill="1" applyBorder="1" applyAlignment="1">
      <alignment horizontal="left" vertical="center" wrapText="1"/>
    </xf>
    <xf numFmtId="0" fontId="5" fillId="4" borderId="35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5" fillId="4" borderId="2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41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49" fontId="7" fillId="2" borderId="13" xfId="0" applyNumberFormat="1" applyFont="1" applyFill="1" applyBorder="1" applyAlignment="1">
      <alignment horizontal="center" vertical="center" wrapText="1"/>
    </xf>
    <xf numFmtId="49" fontId="7" fillId="2" borderId="32" xfId="0" applyNumberFormat="1" applyFont="1" applyFill="1" applyBorder="1" applyAlignment="1">
      <alignment horizontal="center" vertical="center" wrapText="1"/>
    </xf>
    <xf numFmtId="49" fontId="7" fillId="2" borderId="19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left" vertical="center" wrapText="1"/>
    </xf>
    <xf numFmtId="0" fontId="20" fillId="4" borderId="7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49" fontId="8" fillId="2" borderId="13" xfId="0" applyNumberFormat="1" applyFont="1" applyFill="1" applyBorder="1" applyAlignment="1">
      <alignment horizontal="center" vertical="center" wrapText="1"/>
    </xf>
    <xf numFmtId="49" fontId="8" fillId="2" borderId="32" xfId="0" applyNumberFormat="1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top" wrapText="1"/>
    </xf>
    <xf numFmtId="3" fontId="7" fillId="2" borderId="1" xfId="0" applyNumberFormat="1" applyFont="1" applyFill="1" applyBorder="1" applyAlignment="1">
      <alignment horizontal="center" vertical="top" wrapText="1"/>
    </xf>
    <xf numFmtId="49" fontId="8" fillId="2" borderId="19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32" xfId="0" applyNumberFormat="1" applyFont="1" applyBorder="1" applyAlignment="1">
      <alignment horizontal="center" vertical="center" wrapText="1"/>
    </xf>
    <xf numFmtId="3" fontId="8" fillId="0" borderId="22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20" fillId="4" borderId="35" xfId="0" applyFont="1" applyFill="1" applyBorder="1" applyAlignment="1">
      <alignment horizontal="left" vertical="center" wrapText="1"/>
    </xf>
    <xf numFmtId="0" fontId="20" fillId="4" borderId="18" xfId="0" applyFont="1" applyFill="1" applyBorder="1" applyAlignment="1">
      <alignment horizontal="left" vertical="center" wrapText="1"/>
    </xf>
    <xf numFmtId="0" fontId="20" fillId="4" borderId="23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2" borderId="30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49" fontId="13" fillId="2" borderId="13" xfId="0" applyNumberFormat="1" applyFont="1" applyFill="1" applyBorder="1" applyAlignment="1">
      <alignment horizontal="center" vertical="center" wrapText="1"/>
    </xf>
    <xf numFmtId="49" fontId="13" fillId="2" borderId="32" xfId="0" applyNumberFormat="1" applyFont="1" applyFill="1" applyBorder="1" applyAlignment="1">
      <alignment horizontal="center" vertical="center" wrapText="1"/>
    </xf>
    <xf numFmtId="49" fontId="13" fillId="2" borderId="22" xfId="0" applyNumberFormat="1" applyFont="1" applyFill="1" applyBorder="1" applyAlignment="1">
      <alignment horizontal="center" vertical="center" wrapText="1"/>
    </xf>
    <xf numFmtId="49" fontId="14" fillId="2" borderId="19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5" fillId="4" borderId="33" xfId="0" applyFont="1" applyFill="1" applyBorder="1" applyAlignment="1">
      <alignment horizontal="center" vertical="center" wrapText="1"/>
    </xf>
    <xf numFmtId="0" fontId="15" fillId="4" borderId="34" xfId="0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3" fontId="7" fillId="4" borderId="17" xfId="0" applyNumberFormat="1" applyFont="1" applyFill="1" applyBorder="1" applyAlignment="1">
      <alignment horizontal="center" vertical="center" wrapText="1"/>
    </xf>
    <xf numFmtId="3" fontId="7" fillId="4" borderId="23" xfId="0" applyNumberFormat="1" applyFont="1" applyFill="1" applyBorder="1" applyAlignment="1">
      <alignment horizontal="center" vertical="center" wrapText="1"/>
    </xf>
    <xf numFmtId="0" fontId="5" fillId="0" borderId="16" xfId="2" applyFont="1" applyBorder="1" applyAlignment="1">
      <alignment horizontal="left" vertical="center" wrapText="1"/>
    </xf>
    <xf numFmtId="0" fontId="5" fillId="0" borderId="29" xfId="2" applyFont="1" applyBorder="1" applyAlignment="1">
      <alignment horizontal="left" vertical="center" wrapText="1"/>
    </xf>
    <xf numFmtId="0" fontId="5" fillId="0" borderId="30" xfId="2" applyFont="1" applyBorder="1" applyAlignment="1">
      <alignment horizontal="left" vertical="center" wrapText="1"/>
    </xf>
    <xf numFmtId="0" fontId="23" fillId="4" borderId="56" xfId="8" applyFont="1" applyFill="1" applyBorder="1" applyAlignment="1">
      <alignment horizontal="center" vertical="center" shrinkToFit="1"/>
    </xf>
    <xf numFmtId="0" fontId="23" fillId="4" borderId="43" xfId="8" applyFont="1" applyFill="1" applyBorder="1" applyAlignment="1">
      <alignment horizontal="center" vertical="center" shrinkToFit="1"/>
    </xf>
    <xf numFmtId="0" fontId="5" fillId="0" borderId="43" xfId="0" applyFont="1" applyBorder="1" applyAlignment="1">
      <alignment horizontal="right"/>
    </xf>
    <xf numFmtId="0" fontId="8" fillId="4" borderId="61" xfId="0" applyFont="1" applyFill="1" applyBorder="1" applyAlignment="1">
      <alignment horizontal="center" vertical="center" textRotation="90"/>
    </xf>
    <xf numFmtId="0" fontId="8" fillId="4" borderId="49" xfId="0" applyFont="1" applyFill="1" applyBorder="1" applyAlignment="1">
      <alignment horizontal="center" vertical="center" textRotation="90"/>
    </xf>
    <xf numFmtId="0" fontId="8" fillId="4" borderId="12" xfId="0" applyFont="1" applyFill="1" applyBorder="1" applyAlignment="1">
      <alignment horizontal="center" vertical="center" textRotation="90"/>
    </xf>
    <xf numFmtId="0" fontId="5" fillId="4" borderId="20" xfId="0" applyFont="1" applyFill="1" applyBorder="1" applyAlignment="1">
      <alignment horizontal="center" vertical="center"/>
    </xf>
    <xf numFmtId="3" fontId="5" fillId="4" borderId="20" xfId="0" applyNumberFormat="1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3" fontId="5" fillId="4" borderId="4" xfId="0" applyNumberFormat="1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horizontal="center" vertical="center" wrapText="1"/>
    </xf>
    <xf numFmtId="0" fontId="8" fillId="4" borderId="59" xfId="0" applyFont="1" applyFill="1" applyBorder="1" applyAlignment="1">
      <alignment horizontal="center" vertical="center"/>
    </xf>
    <xf numFmtId="0" fontId="8" fillId="4" borderId="53" xfId="0" applyFont="1" applyFill="1" applyBorder="1" applyAlignment="1">
      <alignment horizontal="center" vertical="center"/>
    </xf>
    <xf numFmtId="0" fontId="8" fillId="4" borderId="54" xfId="0" applyFont="1" applyFill="1" applyBorder="1" applyAlignment="1">
      <alignment horizontal="center" vertical="center"/>
    </xf>
    <xf numFmtId="0" fontId="30" fillId="4" borderId="12" xfId="8" applyFont="1" applyFill="1" applyBorder="1" applyAlignment="1">
      <alignment horizontal="center" vertical="center"/>
    </xf>
    <xf numFmtId="0" fontId="30" fillId="4" borderId="7" xfId="8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8" fillId="4" borderId="12" xfId="8" applyFont="1" applyFill="1" applyBorder="1" applyAlignment="1">
      <alignment horizontal="center" vertical="center"/>
    </xf>
    <xf numFmtId="0" fontId="8" fillId="4" borderId="7" xfId="8" applyFont="1" applyFill="1" applyBorder="1" applyAlignment="1">
      <alignment horizontal="center" vertical="center"/>
    </xf>
    <xf numFmtId="0" fontId="8" fillId="4" borderId="59" xfId="2" applyFont="1" applyFill="1" applyBorder="1" applyAlignment="1">
      <alignment horizontal="center" vertical="center"/>
    </xf>
    <xf numFmtId="0" fontId="8" fillId="4" borderId="53" xfId="2" applyFont="1" applyFill="1" applyBorder="1" applyAlignment="1">
      <alignment horizontal="center" vertical="center"/>
    </xf>
    <xf numFmtId="0" fontId="8" fillId="4" borderId="54" xfId="2" applyFont="1" applyFill="1" applyBorder="1" applyAlignment="1">
      <alignment horizontal="center" vertical="center"/>
    </xf>
    <xf numFmtId="165" fontId="24" fillId="3" borderId="32" xfId="8" applyNumberFormat="1" applyFont="1" applyFill="1" applyBorder="1" applyAlignment="1">
      <alignment horizontal="center" vertical="center"/>
    </xf>
    <xf numFmtId="0" fontId="24" fillId="3" borderId="14" xfId="8" applyFont="1" applyFill="1" applyBorder="1" applyAlignment="1">
      <alignment horizontal="center" vertical="center"/>
    </xf>
    <xf numFmtId="0" fontId="24" fillId="3" borderId="2" xfId="8" applyFont="1" applyFill="1" applyBorder="1" applyAlignment="1">
      <alignment horizontal="center" vertical="center"/>
    </xf>
    <xf numFmtId="0" fontId="24" fillId="3" borderId="11" xfId="8" applyFont="1" applyFill="1" applyBorder="1" applyAlignment="1">
      <alignment horizontal="center" vertical="center"/>
    </xf>
    <xf numFmtId="0" fontId="24" fillId="3" borderId="44" xfId="8" applyFont="1" applyFill="1" applyBorder="1" applyAlignment="1">
      <alignment horizontal="center" vertical="center" wrapText="1"/>
    </xf>
    <xf numFmtId="0" fontId="24" fillId="3" borderId="32" xfId="8" applyFont="1" applyFill="1" applyBorder="1" applyAlignment="1">
      <alignment horizontal="center" vertical="center" wrapText="1"/>
    </xf>
    <xf numFmtId="0" fontId="24" fillId="3" borderId="21" xfId="8" applyFont="1" applyFill="1" applyBorder="1" applyAlignment="1">
      <alignment horizontal="center" vertical="center" wrapText="1"/>
    </xf>
    <xf numFmtId="0" fontId="27" fillId="3" borderId="44" xfId="2" applyFont="1" applyFill="1" applyBorder="1" applyAlignment="1">
      <alignment horizontal="center" vertical="center"/>
    </xf>
    <xf numFmtId="0" fontId="27" fillId="3" borderId="32" xfId="2" applyFont="1" applyFill="1" applyBorder="1" applyAlignment="1">
      <alignment horizontal="center" vertical="center"/>
    </xf>
    <xf numFmtId="0" fontId="27" fillId="3" borderId="21" xfId="2" applyFont="1" applyFill="1" applyBorder="1" applyAlignment="1">
      <alignment horizontal="center" vertical="center"/>
    </xf>
    <xf numFmtId="165" fontId="24" fillId="3" borderId="44" xfId="8" applyNumberFormat="1" applyFont="1" applyFill="1" applyBorder="1" applyAlignment="1">
      <alignment horizontal="center" vertical="center"/>
    </xf>
    <xf numFmtId="165" fontId="24" fillId="3" borderId="21" xfId="8" applyNumberFormat="1" applyFont="1" applyFill="1" applyBorder="1" applyAlignment="1">
      <alignment horizontal="center" vertical="center"/>
    </xf>
    <xf numFmtId="0" fontId="23" fillId="4" borderId="59" xfId="8" applyFont="1" applyFill="1" applyBorder="1" applyAlignment="1">
      <alignment horizontal="center" vertical="center" shrinkToFit="1"/>
    </xf>
    <xf numFmtId="0" fontId="23" fillId="4" borderId="53" xfId="8" applyFont="1" applyFill="1" applyBorder="1" applyAlignment="1">
      <alignment horizontal="center" vertical="center" shrinkToFit="1"/>
    </xf>
    <xf numFmtId="0" fontId="23" fillId="4" borderId="52" xfId="8" applyFont="1" applyFill="1" applyBorder="1" applyAlignment="1">
      <alignment horizontal="center" vertical="center" shrinkToFit="1"/>
    </xf>
    <xf numFmtId="0" fontId="23" fillId="4" borderId="38" xfId="8" applyFont="1" applyFill="1" applyBorder="1" applyAlignment="1">
      <alignment horizontal="center" vertical="center" shrinkToFit="1"/>
    </xf>
    <xf numFmtId="0" fontId="23" fillId="4" borderId="0" xfId="8" applyFont="1" applyFill="1" applyAlignment="1">
      <alignment horizontal="center" vertical="center" shrinkToFit="1"/>
    </xf>
    <xf numFmtId="0" fontId="23" fillId="4" borderId="58" xfId="8" applyFont="1" applyFill="1" applyBorder="1" applyAlignment="1">
      <alignment horizontal="center" vertical="center" shrinkToFit="1"/>
    </xf>
    <xf numFmtId="0" fontId="23" fillId="4" borderId="55" xfId="8" applyFont="1" applyFill="1" applyBorder="1" applyAlignment="1">
      <alignment horizontal="center" vertical="center" shrinkToFit="1"/>
    </xf>
    <xf numFmtId="0" fontId="28" fillId="3" borderId="32" xfId="8" applyFont="1" applyFill="1" applyBorder="1" applyAlignment="1">
      <alignment horizontal="center" vertical="center" wrapText="1"/>
    </xf>
    <xf numFmtId="0" fontId="28" fillId="3" borderId="21" xfId="8" applyFont="1" applyFill="1" applyBorder="1" applyAlignment="1">
      <alignment horizontal="center" vertical="center" wrapText="1"/>
    </xf>
    <xf numFmtId="0" fontId="24" fillId="3" borderId="44" xfId="8" applyFont="1" applyFill="1" applyBorder="1" applyAlignment="1">
      <alignment horizontal="center" vertical="center"/>
    </xf>
    <xf numFmtId="0" fontId="24" fillId="3" borderId="32" xfId="8" applyFont="1" applyFill="1" applyBorder="1" applyAlignment="1">
      <alignment horizontal="center" vertical="center"/>
    </xf>
    <xf numFmtId="0" fontId="27" fillId="3" borderId="44" xfId="8" applyFont="1" applyFill="1" applyBorder="1" applyAlignment="1">
      <alignment horizontal="center" vertical="center"/>
    </xf>
    <xf numFmtId="0" fontId="27" fillId="3" borderId="32" xfId="8" applyFont="1" applyFill="1" applyBorder="1" applyAlignment="1">
      <alignment horizontal="center" vertical="center"/>
    </xf>
    <xf numFmtId="0" fontId="27" fillId="3" borderId="21" xfId="8" applyFont="1" applyFill="1" applyBorder="1" applyAlignment="1">
      <alignment horizontal="center" vertical="center"/>
    </xf>
    <xf numFmtId="0" fontId="24" fillId="3" borderId="21" xfId="8" applyFont="1" applyFill="1" applyBorder="1" applyAlignment="1">
      <alignment horizontal="center" vertical="center"/>
    </xf>
    <xf numFmtId="0" fontId="5" fillId="0" borderId="43" xfId="2" applyFont="1" applyBorder="1" applyAlignment="1">
      <alignment horizontal="right"/>
    </xf>
    <xf numFmtId="0" fontId="8" fillId="4" borderId="14" xfId="2" applyFont="1" applyFill="1" applyBorder="1" applyAlignment="1">
      <alignment horizontal="center" vertical="center" textRotation="90"/>
    </xf>
    <xf numFmtId="0" fontId="8" fillId="4" borderId="2" xfId="2" applyFont="1" applyFill="1" applyBorder="1" applyAlignment="1">
      <alignment horizontal="center" vertical="center" textRotation="90"/>
    </xf>
    <xf numFmtId="0" fontId="8" fillId="4" borderId="11" xfId="2" applyFont="1" applyFill="1" applyBorder="1" applyAlignment="1">
      <alignment horizontal="center" vertical="center" textRotation="90"/>
    </xf>
    <xf numFmtId="0" fontId="5" fillId="4" borderId="28" xfId="2" applyFont="1" applyFill="1" applyBorder="1" applyAlignment="1">
      <alignment horizontal="center" vertical="center"/>
    </xf>
    <xf numFmtId="0" fontId="5" fillId="4" borderId="34" xfId="2" applyFont="1" applyFill="1" applyBorder="1" applyAlignment="1">
      <alignment horizontal="center" vertical="center"/>
    </xf>
    <xf numFmtId="0" fontId="5" fillId="4" borderId="25" xfId="2" applyFont="1" applyFill="1" applyBorder="1" applyAlignment="1">
      <alignment horizontal="center" vertical="center"/>
    </xf>
    <xf numFmtId="3" fontId="5" fillId="4" borderId="28" xfId="2" applyNumberFormat="1" applyFont="1" applyFill="1" applyBorder="1" applyAlignment="1">
      <alignment horizontal="center" vertical="center" wrapText="1"/>
    </xf>
    <xf numFmtId="3" fontId="5" fillId="4" borderId="34" xfId="2" applyNumberFormat="1" applyFont="1" applyFill="1" applyBorder="1" applyAlignment="1">
      <alignment horizontal="center" vertical="center" wrapText="1"/>
    </xf>
    <xf numFmtId="3" fontId="5" fillId="4" borderId="26" xfId="2" applyNumberFormat="1" applyFont="1" applyFill="1" applyBorder="1" applyAlignment="1">
      <alignment horizontal="center" vertical="center" wrapText="1"/>
    </xf>
    <xf numFmtId="0" fontId="20" fillId="4" borderId="13" xfId="2" applyFont="1" applyFill="1" applyBorder="1" applyAlignment="1">
      <alignment horizontal="center" vertical="center"/>
    </xf>
    <xf numFmtId="0" fontId="20" fillId="4" borderId="21" xfId="2" applyFont="1" applyFill="1" applyBorder="1" applyAlignment="1">
      <alignment horizontal="center" vertical="center"/>
    </xf>
    <xf numFmtId="0" fontId="5" fillId="4" borderId="13" xfId="2" applyFont="1" applyFill="1" applyBorder="1" applyAlignment="1">
      <alignment horizontal="center" vertical="center"/>
    </xf>
    <xf numFmtId="0" fontId="5" fillId="4" borderId="21" xfId="2" applyFont="1" applyFill="1" applyBorder="1" applyAlignment="1">
      <alignment horizontal="center" vertical="center"/>
    </xf>
    <xf numFmtId="3" fontId="5" fillId="4" borderId="5" xfId="2" applyNumberFormat="1" applyFont="1" applyFill="1" applyBorder="1" applyAlignment="1">
      <alignment horizontal="center" vertical="center" wrapText="1"/>
    </xf>
    <xf numFmtId="3" fontId="5" fillId="4" borderId="41" xfId="2" applyNumberFormat="1" applyFont="1" applyFill="1" applyBorder="1" applyAlignment="1">
      <alignment horizontal="center" vertical="center" wrapText="1"/>
    </xf>
    <xf numFmtId="3" fontId="5" fillId="4" borderId="57" xfId="2" applyNumberFormat="1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center" vertical="center" shrinkToFit="1"/>
    </xf>
    <xf numFmtId="0" fontId="5" fillId="4" borderId="51" xfId="0" applyFont="1" applyFill="1" applyBorder="1" applyAlignment="1">
      <alignment horizontal="center" vertical="center" shrinkToFit="1"/>
    </xf>
    <xf numFmtId="3" fontId="8" fillId="4" borderId="20" xfId="0" applyNumberFormat="1" applyFont="1" applyFill="1" applyBorder="1" applyAlignment="1">
      <alignment horizontal="center" vertical="center" wrapText="1"/>
    </xf>
    <xf numFmtId="3" fontId="8" fillId="4" borderId="4" xfId="0" applyNumberFormat="1" applyFont="1" applyFill="1" applyBorder="1" applyAlignment="1">
      <alignment horizontal="center" vertical="center" wrapText="1"/>
    </xf>
    <xf numFmtId="3" fontId="8" fillId="4" borderId="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/>
    </xf>
    <xf numFmtId="0" fontId="7" fillId="4" borderId="14" xfId="0" applyFont="1" applyFill="1" applyBorder="1" applyAlignment="1">
      <alignment horizontal="center" textRotation="90"/>
    </xf>
    <xf numFmtId="0" fontId="6" fillId="4" borderId="2" xfId="0" applyFont="1" applyFill="1" applyBorder="1" applyAlignment="1">
      <alignment textRotation="90"/>
    </xf>
    <xf numFmtId="0" fontId="6" fillId="4" borderId="11" xfId="0" applyFont="1" applyFill="1" applyBorder="1" applyAlignment="1">
      <alignment textRotation="90"/>
    </xf>
    <xf numFmtId="0" fontId="5" fillId="4" borderId="45" xfId="0" applyFont="1" applyFill="1" applyBorder="1" applyAlignment="1">
      <alignment horizontal="center" vertical="center" shrinkToFit="1"/>
    </xf>
    <xf numFmtId="0" fontId="5" fillId="4" borderId="63" xfId="0" applyFont="1" applyFill="1" applyBorder="1" applyAlignment="1">
      <alignment horizontal="center" vertical="center" shrinkToFit="1"/>
    </xf>
    <xf numFmtId="0" fontId="5" fillId="4" borderId="64" xfId="0" applyFont="1" applyFill="1" applyBorder="1" applyAlignment="1">
      <alignment horizontal="center" vertical="center" shrinkToFit="1"/>
    </xf>
    <xf numFmtId="3" fontId="8" fillId="4" borderId="45" xfId="0" applyNumberFormat="1" applyFont="1" applyFill="1" applyBorder="1" applyAlignment="1">
      <alignment horizontal="center" vertical="center" wrapText="1"/>
    </xf>
    <xf numFmtId="3" fontId="8" fillId="4" borderId="63" xfId="0" applyNumberFormat="1" applyFont="1" applyFill="1" applyBorder="1" applyAlignment="1">
      <alignment horizontal="center" vertical="center" wrapText="1"/>
    </xf>
    <xf numFmtId="3" fontId="8" fillId="4" borderId="64" xfId="0" applyNumberFormat="1" applyFont="1" applyFill="1" applyBorder="1" applyAlignment="1">
      <alignment horizontal="center" vertical="center" wrapText="1"/>
    </xf>
    <xf numFmtId="3" fontId="8" fillId="4" borderId="54" xfId="0" applyNumberFormat="1" applyFont="1" applyFill="1" applyBorder="1" applyAlignment="1">
      <alignment horizontal="center" vertical="center" wrapText="1"/>
    </xf>
    <xf numFmtId="3" fontId="8" fillId="4" borderId="39" xfId="0" applyNumberFormat="1" applyFont="1" applyFill="1" applyBorder="1" applyAlignment="1">
      <alignment horizontal="center" vertical="center" wrapText="1"/>
    </xf>
    <xf numFmtId="3" fontId="8" fillId="4" borderId="65" xfId="0" applyNumberFormat="1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/>
    </xf>
    <xf numFmtId="0" fontId="24" fillId="0" borderId="0" xfId="0" applyFont="1"/>
    <xf numFmtId="0" fontId="6" fillId="0" borderId="0" xfId="0" applyFont="1"/>
    <xf numFmtId="0" fontId="5" fillId="3" borderId="68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0" fontId="5" fillId="7" borderId="34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4" borderId="54" xfId="0" applyFont="1" applyFill="1" applyBorder="1" applyAlignment="1">
      <alignment horizontal="center" vertical="center" wrapText="1" shrinkToFit="1"/>
    </xf>
    <xf numFmtId="0" fontId="5" fillId="4" borderId="65" xfId="0" applyFont="1" applyFill="1" applyBorder="1" applyAlignment="1">
      <alignment horizontal="center" vertical="center" wrapText="1" shrinkToFit="1"/>
    </xf>
    <xf numFmtId="0" fontId="5" fillId="7" borderId="56" xfId="0" applyFont="1" applyFill="1" applyBorder="1" applyAlignment="1">
      <alignment horizontal="center" vertical="center" shrinkToFit="1"/>
    </xf>
    <xf numFmtId="0" fontId="5" fillId="7" borderId="43" xfId="0" applyFont="1" applyFill="1" applyBorder="1" applyAlignment="1">
      <alignment horizontal="center" vertical="center" shrinkToFit="1"/>
    </xf>
    <xf numFmtId="0" fontId="5" fillId="4" borderId="20" xfId="0" applyFont="1" applyFill="1" applyBorder="1" applyAlignment="1">
      <alignment horizontal="center" vertical="center" wrapText="1" shrinkToFit="1"/>
    </xf>
    <xf numFmtId="0" fontId="5" fillId="4" borderId="7" xfId="0" applyFont="1" applyFill="1" applyBorder="1" applyAlignment="1">
      <alignment horizontal="center" vertical="center" wrapText="1" shrinkToFit="1"/>
    </xf>
    <xf numFmtId="0" fontId="14" fillId="4" borderId="14" xfId="0" applyFont="1" applyFill="1" applyBorder="1" applyAlignment="1">
      <alignment horizontal="center" textRotation="90"/>
    </xf>
    <xf numFmtId="0" fontId="34" fillId="4" borderId="11" xfId="0" applyFont="1" applyFill="1" applyBorder="1" applyAlignment="1">
      <alignment textRotation="90"/>
    </xf>
    <xf numFmtId="3" fontId="8" fillId="4" borderId="44" xfId="0" applyNumberFormat="1" applyFont="1" applyFill="1" applyBorder="1" applyAlignment="1">
      <alignment horizontal="center" vertical="center" wrapText="1"/>
    </xf>
    <xf numFmtId="3" fontId="8" fillId="4" borderId="21" xfId="0" applyNumberFormat="1" applyFont="1" applyFill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vertical="center" wrapText="1" shrinkToFit="1"/>
    </xf>
    <xf numFmtId="0" fontId="5" fillId="4" borderId="55" xfId="0" applyFont="1" applyFill="1" applyBorder="1" applyAlignment="1">
      <alignment horizontal="center" vertical="center" wrapText="1" shrinkToFit="1"/>
    </xf>
    <xf numFmtId="16" fontId="5" fillId="4" borderId="69" xfId="8" applyNumberFormat="1" applyFont="1" applyFill="1" applyBorder="1" applyAlignment="1">
      <alignment horizontal="center" vertical="center"/>
    </xf>
    <xf numFmtId="16" fontId="5" fillId="4" borderId="46" xfId="8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4" borderId="40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16" fontId="5" fillId="4" borderId="3" xfId="8" applyNumberFormat="1" applyFont="1" applyFill="1" applyBorder="1" applyAlignment="1">
      <alignment horizontal="center" vertical="center"/>
    </xf>
    <xf numFmtId="16" fontId="5" fillId="4" borderId="13" xfId="8" applyNumberFormat="1" applyFont="1" applyFill="1" applyBorder="1" applyAlignment="1">
      <alignment horizontal="center" vertical="center"/>
    </xf>
    <xf numFmtId="16" fontId="5" fillId="4" borderId="61" xfId="8" applyNumberFormat="1" applyFont="1" applyFill="1" applyBorder="1" applyAlignment="1">
      <alignment horizontal="center" vertical="center"/>
    </xf>
    <xf numFmtId="16" fontId="5" fillId="4" borderId="20" xfId="8" applyNumberFormat="1" applyFont="1" applyFill="1" applyBorder="1" applyAlignment="1">
      <alignment horizontal="center" vertical="center"/>
    </xf>
    <xf numFmtId="16" fontId="5" fillId="4" borderId="15" xfId="8" applyNumberFormat="1" applyFont="1" applyFill="1" applyBorder="1" applyAlignment="1">
      <alignment horizontal="center" vertical="center"/>
    </xf>
    <xf numFmtId="16" fontId="5" fillId="4" borderId="12" xfId="8" applyNumberFormat="1" applyFont="1" applyFill="1" applyBorder="1" applyAlignment="1">
      <alignment horizontal="center" vertical="center"/>
    </xf>
    <xf numFmtId="16" fontId="5" fillId="4" borderId="7" xfId="8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3" fontId="24" fillId="3" borderId="13" xfId="0" applyNumberFormat="1" applyFont="1" applyFill="1" applyBorder="1" applyAlignment="1">
      <alignment vertical="center"/>
    </xf>
    <xf numFmtId="0" fontId="28" fillId="3" borderId="44" xfId="8" applyFont="1" applyFill="1" applyBorder="1" applyAlignment="1">
      <alignment horizontal="center" vertical="center" wrapText="1"/>
    </xf>
    <xf numFmtId="0" fontId="27" fillId="3" borderId="44" xfId="8" applyFont="1" applyFill="1" applyBorder="1" applyAlignment="1">
      <alignment horizontal="center" vertical="center" wrapText="1"/>
    </xf>
    <xf numFmtId="0" fontId="27" fillId="3" borderId="32" xfId="8" applyFont="1" applyFill="1" applyBorder="1" applyAlignment="1">
      <alignment horizontal="center" vertical="center" wrapText="1"/>
    </xf>
    <xf numFmtId="0" fontId="27" fillId="3" borderId="21" xfId="8" applyFont="1" applyFill="1" applyBorder="1" applyAlignment="1">
      <alignment horizontal="center" vertical="center" wrapText="1"/>
    </xf>
    <xf numFmtId="3" fontId="5" fillId="7" borderId="10" xfId="0" applyNumberFormat="1" applyFont="1" applyFill="1" applyBorder="1" applyAlignment="1">
      <alignment vertical="center"/>
    </xf>
  </cellXfs>
  <cellStyles count="9">
    <cellStyle name="Normál" xfId="0" builtinId="0"/>
    <cellStyle name="Normál 2" xfId="1" xr:uid="{00000000-0005-0000-0000-000001000000}"/>
    <cellStyle name="Normál 2 2" xfId="2" xr:uid="{00000000-0005-0000-0000-000002000000}"/>
    <cellStyle name="Normál 2 3" xfId="3" xr:uid="{00000000-0005-0000-0000-000003000000}"/>
    <cellStyle name="Normál 2 3 2" xfId="4" xr:uid="{00000000-0005-0000-0000-000004000000}"/>
    <cellStyle name="Normál 2 3_-1" xfId="5" xr:uid="{00000000-0005-0000-0000-000005000000}"/>
    <cellStyle name="Normál 3" xfId="6" xr:uid="{00000000-0005-0000-0000-000006000000}"/>
    <cellStyle name="Normál 3 2" xfId="7" xr:uid="{00000000-0005-0000-0000-000007000000}"/>
    <cellStyle name="Normál_09eloi" xfId="8" xr:uid="{9DE5DA11-D901-4A93-B52F-7D05D4FDF1A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21\16_SZEPTEMBER_10\El&#337;terjeszt&#233;sek\06_2021.%20&#233;vi%20k&#246;lts&#233;gvet&#233;s%20m&#243;dos&#237;t&#225;s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</sheetNames>
    <sheetDataSet>
      <sheetData sheetId="0"/>
      <sheetData sheetId="1">
        <row r="16">
          <cell r="G16">
            <v>0</v>
          </cell>
        </row>
        <row r="17">
          <cell r="G17">
            <v>0</v>
          </cell>
        </row>
        <row r="19">
          <cell r="G19">
            <v>0</v>
          </cell>
        </row>
        <row r="20">
          <cell r="G20">
            <v>0</v>
          </cell>
        </row>
        <row r="24">
          <cell r="G24">
            <v>0</v>
          </cell>
        </row>
        <row r="25">
          <cell r="G25">
            <v>0</v>
          </cell>
        </row>
        <row r="28">
          <cell r="G28">
            <v>0</v>
          </cell>
        </row>
        <row r="29">
          <cell r="G29">
            <v>0</v>
          </cell>
        </row>
      </sheetData>
      <sheetData sheetId="2">
        <row r="16">
          <cell r="G16">
            <v>0</v>
          </cell>
        </row>
        <row r="17">
          <cell r="G17">
            <v>0</v>
          </cell>
        </row>
        <row r="19">
          <cell r="G19">
            <v>0</v>
          </cell>
        </row>
        <row r="20">
          <cell r="G20">
            <v>0</v>
          </cell>
        </row>
        <row r="24">
          <cell r="G24">
            <v>0</v>
          </cell>
        </row>
        <row r="25">
          <cell r="G25">
            <v>0</v>
          </cell>
        </row>
        <row r="28">
          <cell r="G28">
            <v>0</v>
          </cell>
        </row>
        <row r="29">
          <cell r="G29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80480-9577-4673-B64F-00D4ADEF02C1}">
  <sheetPr>
    <tabColor rgb="FF92D050"/>
  </sheetPr>
  <dimension ref="A1:T74"/>
  <sheetViews>
    <sheetView topLeftCell="A19" zoomScale="95" zoomScaleNormal="95" workbookViewId="0">
      <selection activeCell="T29" sqref="T29"/>
    </sheetView>
  </sheetViews>
  <sheetFormatPr defaultColWidth="9.140625" defaultRowHeight="12.75" x14ac:dyDescent="0.2"/>
  <cols>
    <col min="1" max="1" width="5.5703125" style="43" customWidth="1"/>
    <col min="2" max="2" width="4.28515625" style="43" customWidth="1"/>
    <col min="3" max="3" width="3.7109375" style="29" customWidth="1"/>
    <col min="4" max="4" width="45.7109375" style="29" customWidth="1"/>
    <col min="5" max="8" width="14.7109375" style="44" customWidth="1"/>
    <col min="9" max="9" width="6.5703125" style="45" customWidth="1"/>
    <col min="10" max="10" width="4.28515625" style="45" customWidth="1"/>
    <col min="11" max="11" width="3.7109375" style="45" customWidth="1"/>
    <col min="12" max="12" width="45.7109375" style="29" customWidth="1"/>
    <col min="13" max="15" width="14.7109375" style="29" customWidth="1"/>
    <col min="16" max="16" width="14.7109375" style="44" customWidth="1"/>
    <col min="17" max="16384" width="9.140625" style="29"/>
  </cols>
  <sheetData>
    <row r="1" spans="1:20" s="3" customFormat="1" ht="14.25" x14ac:dyDescent="0.2">
      <c r="A1" s="485" t="s">
        <v>185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28"/>
      <c r="R1" s="28"/>
      <c r="S1" s="28"/>
      <c r="T1" s="28"/>
    </row>
    <row r="2" spans="1:20" s="3" customFormat="1" ht="14.25" x14ac:dyDescent="0.2">
      <c r="A2" s="485" t="s">
        <v>186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28"/>
      <c r="R2" s="28"/>
      <c r="S2" s="28"/>
      <c r="T2" s="28"/>
    </row>
    <row r="3" spans="1:20" s="3" customFormat="1" ht="14.25" x14ac:dyDescent="0.2">
      <c r="A3" s="31"/>
      <c r="B3" s="31"/>
      <c r="E3" s="4"/>
      <c r="F3" s="4"/>
      <c r="G3" s="4"/>
      <c r="H3" s="9"/>
      <c r="I3" s="9"/>
      <c r="J3" s="9"/>
      <c r="K3" s="30"/>
      <c r="L3" s="30"/>
      <c r="M3" s="30"/>
      <c r="N3" s="30"/>
      <c r="O3" s="28"/>
      <c r="P3" s="28"/>
      <c r="Q3" s="28"/>
      <c r="R3" s="28"/>
      <c r="S3" s="28"/>
      <c r="T3" s="28"/>
    </row>
    <row r="4" spans="1:20" s="3" customFormat="1" ht="15.95" customHeight="1" x14ac:dyDescent="0.25">
      <c r="A4" s="476" t="s">
        <v>187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</row>
    <row r="5" spans="1:20" s="3" customFormat="1" ht="15.95" customHeight="1" x14ac:dyDescent="0.25">
      <c r="A5" s="476" t="s">
        <v>89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</row>
    <row r="6" spans="1:20" s="3" customFormat="1" ht="15.95" customHeight="1" x14ac:dyDescent="0.25">
      <c r="A6" s="476" t="s">
        <v>39</v>
      </c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</row>
    <row r="7" spans="1:20" s="3" customFormat="1" ht="15.95" customHeight="1" x14ac:dyDescent="0.25">
      <c r="A7" s="476" t="s">
        <v>188</v>
      </c>
      <c r="B7" s="476"/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</row>
    <row r="8" spans="1:20" s="3" customFormat="1" ht="15.95" customHeight="1" x14ac:dyDescent="0.25">
      <c r="A8" s="476" t="s">
        <v>189</v>
      </c>
      <c r="B8" s="476"/>
      <c r="C8" s="476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476"/>
    </row>
    <row r="9" spans="1:20" ht="15.95" customHeight="1" thickBot="1" x14ac:dyDescent="0.35">
      <c r="D9" s="477"/>
      <c r="E9" s="477"/>
      <c r="F9" s="477"/>
      <c r="G9" s="477"/>
      <c r="H9" s="477"/>
      <c r="I9" s="477"/>
      <c r="J9" s="477"/>
      <c r="K9" s="477"/>
      <c r="L9" s="477"/>
      <c r="M9" s="46"/>
      <c r="N9" s="46"/>
      <c r="O9" s="46"/>
      <c r="P9" s="47" t="s">
        <v>92</v>
      </c>
    </row>
    <row r="10" spans="1:20" s="48" customFormat="1" ht="21.95" customHeight="1" x14ac:dyDescent="0.2">
      <c r="A10" s="478" t="s">
        <v>37</v>
      </c>
      <c r="B10" s="479"/>
      <c r="C10" s="479"/>
      <c r="D10" s="479"/>
      <c r="E10" s="479"/>
      <c r="F10" s="234"/>
      <c r="G10" s="234"/>
      <c r="H10" s="234"/>
      <c r="I10" s="478" t="s">
        <v>38</v>
      </c>
      <c r="J10" s="479"/>
      <c r="K10" s="479"/>
      <c r="L10" s="479"/>
      <c r="M10" s="479"/>
      <c r="N10" s="479"/>
      <c r="O10" s="479"/>
      <c r="P10" s="480"/>
    </row>
    <row r="11" spans="1:20" s="48" customFormat="1" ht="41.25" customHeight="1" thickBot="1" x14ac:dyDescent="0.25">
      <c r="A11" s="235" t="s">
        <v>77</v>
      </c>
      <c r="B11" s="236" t="s">
        <v>78</v>
      </c>
      <c r="C11" s="481"/>
      <c r="D11" s="482"/>
      <c r="E11" s="215" t="s">
        <v>28</v>
      </c>
      <c r="F11" s="242" t="s">
        <v>88</v>
      </c>
      <c r="G11" s="242" t="s">
        <v>87</v>
      </c>
      <c r="H11" s="242" t="s">
        <v>88</v>
      </c>
      <c r="I11" s="235" t="s">
        <v>77</v>
      </c>
      <c r="J11" s="236" t="s">
        <v>78</v>
      </c>
      <c r="K11" s="483"/>
      <c r="L11" s="484"/>
      <c r="M11" s="215" t="s">
        <v>28</v>
      </c>
      <c r="N11" s="242" t="s">
        <v>88</v>
      </c>
      <c r="O11" s="242" t="s">
        <v>87</v>
      </c>
      <c r="P11" s="244" t="s">
        <v>88</v>
      </c>
    </row>
    <row r="12" spans="1:20" s="49" customFormat="1" ht="18" customHeight="1" x14ac:dyDescent="0.2">
      <c r="A12" s="443" t="s">
        <v>36</v>
      </c>
      <c r="B12" s="444"/>
      <c r="C12" s="444"/>
      <c r="D12" s="444"/>
      <c r="E12" s="444"/>
      <c r="F12" s="444"/>
      <c r="G12" s="444"/>
      <c r="H12" s="444"/>
      <c r="I12" s="444"/>
      <c r="J12" s="444"/>
      <c r="K12" s="444"/>
      <c r="L12" s="444"/>
      <c r="M12" s="444"/>
      <c r="N12" s="444"/>
      <c r="O12" s="444"/>
      <c r="P12" s="445"/>
    </row>
    <row r="13" spans="1:20" s="55" customFormat="1" ht="18" customHeight="1" x14ac:dyDescent="0.2">
      <c r="A13" s="50" t="s">
        <v>0</v>
      </c>
      <c r="B13" s="446" t="s">
        <v>35</v>
      </c>
      <c r="C13" s="447"/>
      <c r="D13" s="448"/>
      <c r="E13" s="51">
        <f>E14+E18+E22+E26</f>
        <v>955839380</v>
      </c>
      <c r="F13" s="51">
        <f>F14+F18+F22+F26</f>
        <v>987109688</v>
      </c>
      <c r="G13" s="51">
        <f>G14+G18+G22+G26</f>
        <v>24534479</v>
      </c>
      <c r="H13" s="51">
        <f>H14+H18+H22+H26</f>
        <v>1011644167</v>
      </c>
      <c r="I13" s="52" t="s">
        <v>0</v>
      </c>
      <c r="J13" s="473" t="s">
        <v>17</v>
      </c>
      <c r="K13" s="474"/>
      <c r="L13" s="475"/>
      <c r="M13" s="53">
        <f>M14+M18+M22+M30+M26</f>
        <v>1337219706</v>
      </c>
      <c r="N13" s="53">
        <f>N14+N18+N22+N30+N26</f>
        <v>1506827818</v>
      </c>
      <c r="O13" s="53">
        <f>O14+O18+O22+O30+O26</f>
        <v>22806479</v>
      </c>
      <c r="P13" s="54">
        <f>P14+P18+P22+P30+P26</f>
        <v>1529634297</v>
      </c>
    </row>
    <row r="14" spans="1:20" s="49" customFormat="1" ht="18" customHeight="1" x14ac:dyDescent="0.2">
      <c r="A14" s="56"/>
      <c r="B14" s="432" t="s">
        <v>50</v>
      </c>
      <c r="C14" s="452" t="s">
        <v>42</v>
      </c>
      <c r="D14" s="453"/>
      <c r="E14" s="51">
        <f>E15+E16+E17</f>
        <v>856618347</v>
      </c>
      <c r="F14" s="51">
        <f>F15+F16+F17</f>
        <v>856937007</v>
      </c>
      <c r="G14" s="51">
        <f>G15+G16+G17</f>
        <v>21000000</v>
      </c>
      <c r="H14" s="51">
        <f>SUM(H15:H17)</f>
        <v>877937007</v>
      </c>
      <c r="I14" s="57"/>
      <c r="J14" s="437" t="s">
        <v>45</v>
      </c>
      <c r="K14" s="457" t="s">
        <v>13</v>
      </c>
      <c r="L14" s="457"/>
      <c r="M14" s="51">
        <f>M15+M16+M17</f>
        <v>427976060</v>
      </c>
      <c r="N14" s="51">
        <f>N15+N16+N17</f>
        <v>493133681</v>
      </c>
      <c r="O14" s="51">
        <f>O15+O16+O17</f>
        <v>137843855</v>
      </c>
      <c r="P14" s="58">
        <f>SUM(P15:P17)</f>
        <v>630977536</v>
      </c>
    </row>
    <row r="15" spans="1:20" s="49" customFormat="1" ht="18" customHeight="1" x14ac:dyDescent="0.2">
      <c r="A15" s="56"/>
      <c r="B15" s="433"/>
      <c r="C15" s="59" t="s">
        <v>1</v>
      </c>
      <c r="D15" s="60" t="s">
        <v>7</v>
      </c>
      <c r="E15" s="61">
        <f>'2.'!E15+'3.'!E15</f>
        <v>856618347</v>
      </c>
      <c r="F15" s="61">
        <f>'2.'!F15+'3.'!F15</f>
        <v>856937007</v>
      </c>
      <c r="G15" s="61">
        <f>'2.'!G15+'3.'!G15</f>
        <v>21000000</v>
      </c>
      <c r="H15" s="62">
        <f>F15+G15</f>
        <v>877937007</v>
      </c>
      <c r="I15" s="57"/>
      <c r="J15" s="438"/>
      <c r="K15" s="59" t="s">
        <v>1</v>
      </c>
      <c r="L15" s="60" t="s">
        <v>7</v>
      </c>
      <c r="M15" s="61">
        <f>'2.'!M15+'3.'!M15</f>
        <v>427876060</v>
      </c>
      <c r="N15" s="61">
        <f>'2.'!N15+'3.'!N15</f>
        <v>493033681</v>
      </c>
      <c r="O15" s="61">
        <f>'2.'!O15+'3.'!O15</f>
        <v>133691225</v>
      </c>
      <c r="P15" s="62">
        <f>+O15+N15</f>
        <v>626724906</v>
      </c>
    </row>
    <row r="16" spans="1:20" s="49" customFormat="1" ht="18" customHeight="1" x14ac:dyDescent="0.2">
      <c r="A16" s="56"/>
      <c r="B16" s="433"/>
      <c r="C16" s="59" t="s">
        <v>2</v>
      </c>
      <c r="D16" s="60" t="s">
        <v>9</v>
      </c>
      <c r="E16" s="61">
        <f>'2.'!E16+'3.'!E16</f>
        <v>0</v>
      </c>
      <c r="F16" s="61">
        <f>'2.'!F16+'3.'!F16</f>
        <v>0</v>
      </c>
      <c r="G16" s="61">
        <f>'[1]2.'!G16+'[1]3.'!G16</f>
        <v>0</v>
      </c>
      <c r="H16" s="62">
        <f>F16+G16</f>
        <v>0</v>
      </c>
      <c r="I16" s="57"/>
      <c r="J16" s="438"/>
      <c r="K16" s="59" t="s">
        <v>2</v>
      </c>
      <c r="L16" s="60" t="s">
        <v>9</v>
      </c>
      <c r="M16" s="61">
        <f>'2.'!M16+'3.'!M16</f>
        <v>100000</v>
      </c>
      <c r="N16" s="61">
        <f>'2.'!N16+'3.'!N16</f>
        <v>100000</v>
      </c>
      <c r="O16" s="61">
        <f>'2.'!O16+'3.'!O16</f>
        <v>4152630</v>
      </c>
      <c r="P16" s="62">
        <f t="shared" ref="P16:P39" si="0">+O16+N16</f>
        <v>4252630</v>
      </c>
    </row>
    <row r="17" spans="1:18" s="49" customFormat="1" ht="18" customHeight="1" x14ac:dyDescent="0.2">
      <c r="A17" s="56"/>
      <c r="B17" s="434"/>
      <c r="C17" s="59" t="s">
        <v>4</v>
      </c>
      <c r="D17" s="60" t="s">
        <v>8</v>
      </c>
      <c r="E17" s="61">
        <f>'2.'!E17+'3.'!E17</f>
        <v>0</v>
      </c>
      <c r="F17" s="61">
        <f>'2.'!F17+'3.'!F17</f>
        <v>0</v>
      </c>
      <c r="G17" s="61">
        <f>'[1]2.'!G17+'[1]3.'!G17</f>
        <v>0</v>
      </c>
      <c r="H17" s="62">
        <f>F17+G17</f>
        <v>0</v>
      </c>
      <c r="I17" s="57"/>
      <c r="J17" s="439"/>
      <c r="K17" s="59" t="s">
        <v>4</v>
      </c>
      <c r="L17" s="60" t="s">
        <v>8</v>
      </c>
      <c r="M17" s="61">
        <f>'2.'!M17+'3.'!M17</f>
        <v>0</v>
      </c>
      <c r="N17" s="61">
        <f>'2.'!N17+'3.'!N17</f>
        <v>0</v>
      </c>
      <c r="O17" s="61">
        <f>'2.'!O17+'3.'!O17</f>
        <v>0</v>
      </c>
      <c r="P17" s="62">
        <f t="shared" si="0"/>
        <v>0</v>
      </c>
    </row>
    <row r="18" spans="1:18" s="49" customFormat="1" ht="18" customHeight="1" x14ac:dyDescent="0.2">
      <c r="A18" s="56"/>
      <c r="B18" s="432" t="s">
        <v>63</v>
      </c>
      <c r="C18" s="435" t="s">
        <v>5</v>
      </c>
      <c r="D18" s="436"/>
      <c r="E18" s="51">
        <f>E19+E20+E21</f>
        <v>0</v>
      </c>
      <c r="F18" s="63">
        <f>SUM(F19:F21)</f>
        <v>0</v>
      </c>
      <c r="G18" s="51">
        <f>G19+G20+G21</f>
        <v>0</v>
      </c>
      <c r="H18" s="64">
        <f>SUM(H19:H21)</f>
        <v>0</v>
      </c>
      <c r="I18" s="57"/>
      <c r="J18" s="437" t="s">
        <v>46</v>
      </c>
      <c r="K18" s="442" t="s">
        <v>16</v>
      </c>
      <c r="L18" s="442"/>
      <c r="M18" s="51">
        <f>M19+M20+M21</f>
        <v>61172121</v>
      </c>
      <c r="N18" s="51">
        <f>N19+N20+N21</f>
        <v>65113758</v>
      </c>
      <c r="O18" s="51">
        <f>O19+O20+O21</f>
        <v>5016379</v>
      </c>
      <c r="P18" s="64">
        <f>SUM(P19:P21)</f>
        <v>70130137</v>
      </c>
    </row>
    <row r="19" spans="1:18" s="49" customFormat="1" ht="18" customHeight="1" x14ac:dyDescent="0.2">
      <c r="A19" s="56"/>
      <c r="B19" s="433"/>
      <c r="C19" s="59" t="s">
        <v>1</v>
      </c>
      <c r="D19" s="60" t="s">
        <v>7</v>
      </c>
      <c r="E19" s="61">
        <f>'2.'!E19+'3.'!E19</f>
        <v>0</v>
      </c>
      <c r="F19" s="61">
        <f>'2.'!F19+'3.'!F19</f>
        <v>0</v>
      </c>
      <c r="G19" s="61">
        <f>'[1]2.'!G19+'[1]3.'!G19</f>
        <v>0</v>
      </c>
      <c r="H19" s="62">
        <f t="shared" ref="H19:H29" si="1">F19+G19</f>
        <v>0</v>
      </c>
      <c r="I19" s="57"/>
      <c r="J19" s="438"/>
      <c r="K19" s="59" t="s">
        <v>1</v>
      </c>
      <c r="L19" s="60" t="s">
        <v>7</v>
      </c>
      <c r="M19" s="61">
        <f>'2.'!M19+'3.'!M19</f>
        <v>61159121</v>
      </c>
      <c r="N19" s="61">
        <f>'2.'!N19+'3.'!N19</f>
        <v>65100758</v>
      </c>
      <c r="O19" s="61">
        <f>'2.'!O19+'3.'!O19</f>
        <v>3727537</v>
      </c>
      <c r="P19" s="62">
        <f t="shared" si="0"/>
        <v>68828295</v>
      </c>
    </row>
    <row r="20" spans="1:18" s="49" customFormat="1" ht="18" customHeight="1" x14ac:dyDescent="0.2">
      <c r="A20" s="56"/>
      <c r="B20" s="433"/>
      <c r="C20" s="59" t="s">
        <v>2</v>
      </c>
      <c r="D20" s="60" t="s">
        <v>9</v>
      </c>
      <c r="E20" s="61">
        <f>'2.'!E20+'3.'!E20</f>
        <v>0</v>
      </c>
      <c r="F20" s="61">
        <f>'2.'!F20+'3.'!F20</f>
        <v>0</v>
      </c>
      <c r="G20" s="61">
        <f>'[1]2.'!G20+'[1]3.'!G20</f>
        <v>0</v>
      </c>
      <c r="H20" s="62">
        <f t="shared" si="1"/>
        <v>0</v>
      </c>
      <c r="I20" s="57"/>
      <c r="J20" s="438"/>
      <c r="K20" s="59" t="s">
        <v>2</v>
      </c>
      <c r="L20" s="60" t="s">
        <v>9</v>
      </c>
      <c r="M20" s="61">
        <f>'2.'!M20+'3.'!M20</f>
        <v>13000</v>
      </c>
      <c r="N20" s="61">
        <f>'2.'!N20+'3.'!N20</f>
        <v>13000</v>
      </c>
      <c r="O20" s="61">
        <f>'2.'!O20+'3.'!O20</f>
        <v>1288842</v>
      </c>
      <c r="P20" s="62">
        <f t="shared" si="0"/>
        <v>1301842</v>
      </c>
    </row>
    <row r="21" spans="1:18" s="49" customFormat="1" ht="18" customHeight="1" x14ac:dyDescent="0.2">
      <c r="A21" s="56"/>
      <c r="B21" s="434"/>
      <c r="C21" s="59" t="s">
        <v>4</v>
      </c>
      <c r="D21" s="60" t="s">
        <v>8</v>
      </c>
      <c r="E21" s="61">
        <f>'2.'!E21+'3.'!E21</f>
        <v>0</v>
      </c>
      <c r="F21" s="61">
        <f>'2.'!F21+'3.'!F21</f>
        <v>0</v>
      </c>
      <c r="G21" s="61">
        <f>'2.'!G21+'3.'!G21</f>
        <v>0</v>
      </c>
      <c r="H21" s="62">
        <f t="shared" si="1"/>
        <v>0</v>
      </c>
      <c r="I21" s="57"/>
      <c r="J21" s="439"/>
      <c r="K21" s="59" t="s">
        <v>4</v>
      </c>
      <c r="L21" s="60" t="s">
        <v>8</v>
      </c>
      <c r="M21" s="61">
        <f>'2.'!M21+'3.'!M21</f>
        <v>0</v>
      </c>
      <c r="N21" s="61">
        <f>'2.'!N21+'3.'!N21</f>
        <v>0</v>
      </c>
      <c r="O21" s="61">
        <f>'2.'!O21+'3.'!O21</f>
        <v>0</v>
      </c>
      <c r="P21" s="62">
        <f t="shared" si="0"/>
        <v>0</v>
      </c>
    </row>
    <row r="22" spans="1:18" s="49" customFormat="1" ht="18" customHeight="1" x14ac:dyDescent="0.2">
      <c r="A22" s="56"/>
      <c r="B22" s="432" t="s">
        <v>64</v>
      </c>
      <c r="C22" s="435" t="s">
        <v>27</v>
      </c>
      <c r="D22" s="436"/>
      <c r="E22" s="51">
        <f>E23+E24+E25</f>
        <v>720000</v>
      </c>
      <c r="F22" s="51">
        <f>F23+F24+F25</f>
        <v>720000</v>
      </c>
      <c r="G22" s="51">
        <f>G23+G24+G25</f>
        <v>529600</v>
      </c>
      <c r="H22" s="64">
        <f>SUM(H23:H25)</f>
        <v>1249600</v>
      </c>
      <c r="I22" s="57"/>
      <c r="J22" s="437" t="s">
        <v>47</v>
      </c>
      <c r="K22" s="442" t="s">
        <v>26</v>
      </c>
      <c r="L22" s="442"/>
      <c r="M22" s="51">
        <f>M23+M24+M25</f>
        <v>731091589</v>
      </c>
      <c r="N22" s="51">
        <f>N23+N24+N25</f>
        <v>706942624</v>
      </c>
      <c r="O22" s="51">
        <f>O23+O24+O25</f>
        <v>-116651440</v>
      </c>
      <c r="P22" s="64">
        <f>SUM(P23:P25)</f>
        <v>590291184</v>
      </c>
    </row>
    <row r="23" spans="1:18" s="49" customFormat="1" ht="18" customHeight="1" x14ac:dyDescent="0.2">
      <c r="A23" s="56"/>
      <c r="B23" s="433"/>
      <c r="C23" s="59" t="s">
        <v>1</v>
      </c>
      <c r="D23" s="60" t="s">
        <v>7</v>
      </c>
      <c r="E23" s="61">
        <f>'2.'!E23+'3.'!E23</f>
        <v>720000</v>
      </c>
      <c r="F23" s="61">
        <f>'2.'!F23+'3.'!F23</f>
        <v>720000</v>
      </c>
      <c r="G23" s="61">
        <f>'2.'!G23+'3.'!G23</f>
        <v>529600</v>
      </c>
      <c r="H23" s="62">
        <f t="shared" si="1"/>
        <v>1249600</v>
      </c>
      <c r="I23" s="57"/>
      <c r="J23" s="438"/>
      <c r="K23" s="59" t="s">
        <v>1</v>
      </c>
      <c r="L23" s="60" t="s">
        <v>7</v>
      </c>
      <c r="M23" s="61">
        <f>'2.'!M23+'3.'!M23</f>
        <v>729937089</v>
      </c>
      <c r="N23" s="61">
        <f>'2.'!N23+'3.'!N23</f>
        <v>705788124</v>
      </c>
      <c r="O23" s="61">
        <f>'2.'!O23+'3.'!O23</f>
        <v>-117580810</v>
      </c>
      <c r="P23" s="62">
        <f t="shared" si="0"/>
        <v>588207314</v>
      </c>
    </row>
    <row r="24" spans="1:18" s="49" customFormat="1" ht="18" customHeight="1" x14ac:dyDescent="0.2">
      <c r="A24" s="56"/>
      <c r="B24" s="433"/>
      <c r="C24" s="59" t="s">
        <v>2</v>
      </c>
      <c r="D24" s="60" t="s">
        <v>9</v>
      </c>
      <c r="E24" s="61">
        <f>'2.'!E24+'3.'!E24</f>
        <v>0</v>
      </c>
      <c r="F24" s="61">
        <f>'2.'!F24+'3.'!F24</f>
        <v>0</v>
      </c>
      <c r="G24" s="61">
        <f>'[1]2.'!G24+'[1]3.'!G24</f>
        <v>0</v>
      </c>
      <c r="H24" s="62">
        <f t="shared" si="1"/>
        <v>0</v>
      </c>
      <c r="I24" s="57"/>
      <c r="J24" s="438"/>
      <c r="K24" s="59" t="s">
        <v>2</v>
      </c>
      <c r="L24" s="60" t="s">
        <v>9</v>
      </c>
      <c r="M24" s="61">
        <f>'2.'!M24+'3.'!M24</f>
        <v>1154500</v>
      </c>
      <c r="N24" s="61">
        <f>'2.'!N24+'3.'!N24</f>
        <v>1154500</v>
      </c>
      <c r="O24" s="61">
        <f>'2.'!O24+'3.'!O24</f>
        <v>929370</v>
      </c>
      <c r="P24" s="62">
        <f t="shared" si="0"/>
        <v>2083870</v>
      </c>
    </row>
    <row r="25" spans="1:18" s="49" customFormat="1" ht="18" customHeight="1" x14ac:dyDescent="0.2">
      <c r="A25" s="56"/>
      <c r="B25" s="434"/>
      <c r="C25" s="59" t="s">
        <v>4</v>
      </c>
      <c r="D25" s="60" t="s">
        <v>8</v>
      </c>
      <c r="E25" s="61">
        <f>'2.'!E25+'3.'!E25</f>
        <v>0</v>
      </c>
      <c r="F25" s="61">
        <f>'2.'!F25+'3.'!F25</f>
        <v>0</v>
      </c>
      <c r="G25" s="61">
        <f>'[1]2.'!G25+'[1]3.'!G25</f>
        <v>0</v>
      </c>
      <c r="H25" s="62">
        <f t="shared" si="1"/>
        <v>0</v>
      </c>
      <c r="I25" s="57"/>
      <c r="J25" s="439"/>
      <c r="K25" s="59" t="s">
        <v>4</v>
      </c>
      <c r="L25" s="60" t="s">
        <v>8</v>
      </c>
      <c r="M25" s="61">
        <f>'2.'!M25+'3.'!M25</f>
        <v>0</v>
      </c>
      <c r="N25" s="61">
        <f>'2.'!N25+'3.'!N25</f>
        <v>0</v>
      </c>
      <c r="O25" s="61">
        <f>'2.'!O25+'3.'!O25</f>
        <v>0</v>
      </c>
      <c r="P25" s="62">
        <f t="shared" si="0"/>
        <v>0</v>
      </c>
    </row>
    <row r="26" spans="1:18" s="49" customFormat="1" ht="18" customHeight="1" x14ac:dyDescent="0.2">
      <c r="A26" s="56"/>
      <c r="B26" s="432" t="s">
        <v>66</v>
      </c>
      <c r="C26" s="440" t="s">
        <v>41</v>
      </c>
      <c r="D26" s="441"/>
      <c r="E26" s="51">
        <f>E27+E28+E29</f>
        <v>98501033</v>
      </c>
      <c r="F26" s="51">
        <f>F27+F28+F29</f>
        <v>129452681</v>
      </c>
      <c r="G26" s="51">
        <f>G27+G28+G29</f>
        <v>3004879</v>
      </c>
      <c r="H26" s="64">
        <f>SUM(H27:H29)</f>
        <v>132457560</v>
      </c>
      <c r="I26" s="57"/>
      <c r="J26" s="437" t="s">
        <v>48</v>
      </c>
      <c r="K26" s="457" t="s">
        <v>6</v>
      </c>
      <c r="L26" s="457"/>
      <c r="M26" s="51">
        <f>M27+M28+M29</f>
        <v>0</v>
      </c>
      <c r="N26" s="51">
        <f>N27+N28+N29</f>
        <v>0</v>
      </c>
      <c r="O26" s="51">
        <f>O27+O28+O29</f>
        <v>0</v>
      </c>
      <c r="P26" s="65">
        <f>SUM(P27:P29)</f>
        <v>0</v>
      </c>
    </row>
    <row r="27" spans="1:18" s="49" customFormat="1" ht="18" customHeight="1" x14ac:dyDescent="0.2">
      <c r="A27" s="56"/>
      <c r="B27" s="433"/>
      <c r="C27" s="59" t="s">
        <v>1</v>
      </c>
      <c r="D27" s="60" t="s">
        <v>7</v>
      </c>
      <c r="E27" s="61">
        <f>'2.'!E27+'3.'!E27</f>
        <v>98501033</v>
      </c>
      <c r="F27" s="61">
        <f>'2.'!F27+'3.'!F27</f>
        <v>129452681</v>
      </c>
      <c r="G27" s="61">
        <f>'2.'!G27+'3.'!G27</f>
        <v>3004879</v>
      </c>
      <c r="H27" s="62">
        <f t="shared" si="1"/>
        <v>132457560</v>
      </c>
      <c r="I27" s="57"/>
      <c r="J27" s="438"/>
      <c r="K27" s="59" t="s">
        <v>1</v>
      </c>
      <c r="L27" s="60" t="s">
        <v>7</v>
      </c>
      <c r="M27" s="61">
        <f>'2.'!M27+'3.'!M27</f>
        <v>0</v>
      </c>
      <c r="N27" s="61">
        <f>'2.'!N27+'3.'!N27</f>
        <v>0</v>
      </c>
      <c r="O27" s="61">
        <f>'2.'!O27+'3.'!O27</f>
        <v>0</v>
      </c>
      <c r="P27" s="62">
        <f t="shared" si="0"/>
        <v>0</v>
      </c>
    </row>
    <row r="28" spans="1:18" s="49" customFormat="1" ht="18" customHeight="1" x14ac:dyDescent="0.2">
      <c r="A28" s="56"/>
      <c r="B28" s="433"/>
      <c r="C28" s="59" t="s">
        <v>2</v>
      </c>
      <c r="D28" s="60" t="s">
        <v>9</v>
      </c>
      <c r="E28" s="61">
        <f>'2.'!E28+'3.'!E28</f>
        <v>0</v>
      </c>
      <c r="F28" s="61">
        <f>'2.'!F28+'3.'!F28</f>
        <v>0</v>
      </c>
      <c r="G28" s="61">
        <f>'[1]2.'!G28+'[1]3.'!G28</f>
        <v>0</v>
      </c>
      <c r="H28" s="62">
        <f t="shared" si="1"/>
        <v>0</v>
      </c>
      <c r="I28" s="57"/>
      <c r="J28" s="438"/>
      <c r="K28" s="59" t="s">
        <v>2</v>
      </c>
      <c r="L28" s="60" t="s">
        <v>9</v>
      </c>
      <c r="M28" s="61">
        <f>'2.'!M28+'3.'!M28</f>
        <v>0</v>
      </c>
      <c r="N28" s="61">
        <f>'2.'!N28+'3.'!N28</f>
        <v>0</v>
      </c>
      <c r="O28" s="61">
        <f>'2.'!O28+'3.'!O28</f>
        <v>0</v>
      </c>
      <c r="P28" s="62">
        <f t="shared" si="0"/>
        <v>0</v>
      </c>
    </row>
    <row r="29" spans="1:18" s="49" customFormat="1" ht="18" customHeight="1" x14ac:dyDescent="0.2">
      <c r="A29" s="66"/>
      <c r="B29" s="434"/>
      <c r="C29" s="59" t="s">
        <v>4</v>
      </c>
      <c r="D29" s="60" t="s">
        <v>8</v>
      </c>
      <c r="E29" s="61">
        <f>'2.'!E29+'3.'!E29</f>
        <v>0</v>
      </c>
      <c r="F29" s="61">
        <f>'2.'!F29+'3.'!F29</f>
        <v>0</v>
      </c>
      <c r="G29" s="61">
        <f>'[1]2.'!G29+'[1]3.'!G29</f>
        <v>0</v>
      </c>
      <c r="H29" s="62">
        <f t="shared" si="1"/>
        <v>0</v>
      </c>
      <c r="I29" s="57"/>
      <c r="J29" s="439"/>
      <c r="K29" s="59" t="s">
        <v>4</v>
      </c>
      <c r="L29" s="60" t="s">
        <v>8</v>
      </c>
      <c r="M29" s="61">
        <f>'2.'!M29+'3.'!M29</f>
        <v>0</v>
      </c>
      <c r="N29" s="61">
        <f>'2.'!N29+'3.'!N29</f>
        <v>0</v>
      </c>
      <c r="O29" s="61">
        <f>'2.'!O29+'3.'!O29</f>
        <v>0</v>
      </c>
      <c r="P29" s="62">
        <f t="shared" si="0"/>
        <v>0</v>
      </c>
    </row>
    <row r="30" spans="1:18" s="49" customFormat="1" ht="18" customHeight="1" x14ac:dyDescent="0.2">
      <c r="A30" s="458"/>
      <c r="B30" s="459"/>
      <c r="C30" s="459"/>
      <c r="D30" s="459"/>
      <c r="E30" s="459"/>
      <c r="F30" s="459"/>
      <c r="G30" s="459"/>
      <c r="H30" s="460"/>
      <c r="I30" s="57"/>
      <c r="J30" s="437" t="s">
        <v>49</v>
      </c>
      <c r="K30" s="442" t="s">
        <v>10</v>
      </c>
      <c r="L30" s="442"/>
      <c r="M30" s="51">
        <f>M31+M34+M35</f>
        <v>116979936</v>
      </c>
      <c r="N30" s="51">
        <f>N31+N34+N35</f>
        <v>241637755</v>
      </c>
      <c r="O30" s="51">
        <f>O31+O34+O35</f>
        <v>-3402315</v>
      </c>
      <c r="P30" s="64">
        <f>P31+P34+P35</f>
        <v>238235440</v>
      </c>
    </row>
    <row r="31" spans="1:18" s="49" customFormat="1" ht="18" customHeight="1" x14ac:dyDescent="0.2">
      <c r="A31" s="461"/>
      <c r="B31" s="462"/>
      <c r="C31" s="462"/>
      <c r="D31" s="462"/>
      <c r="E31" s="462"/>
      <c r="F31" s="462"/>
      <c r="G31" s="462"/>
      <c r="H31" s="463"/>
      <c r="I31" s="57"/>
      <c r="J31" s="438"/>
      <c r="K31" s="59" t="s">
        <v>1</v>
      </c>
      <c r="L31" s="60" t="s">
        <v>7</v>
      </c>
      <c r="M31" s="61">
        <f>'2.'!M31+'3.'!M31</f>
        <v>112979936</v>
      </c>
      <c r="N31" s="61">
        <f>'2.'!N31+'3.'!N31</f>
        <v>235537755</v>
      </c>
      <c r="O31" s="61">
        <f>'2.'!O31+'3.'!O31</f>
        <v>-3612315</v>
      </c>
      <c r="P31" s="62">
        <f t="shared" si="0"/>
        <v>231925440</v>
      </c>
    </row>
    <row r="32" spans="1:18" s="49" customFormat="1" ht="18" customHeight="1" x14ac:dyDescent="0.2">
      <c r="A32" s="461"/>
      <c r="B32" s="462"/>
      <c r="C32" s="462"/>
      <c r="D32" s="462"/>
      <c r="E32" s="462"/>
      <c r="F32" s="462"/>
      <c r="G32" s="462"/>
      <c r="H32" s="463"/>
      <c r="I32" s="57"/>
      <c r="J32" s="438"/>
      <c r="K32" s="67" t="s">
        <v>79</v>
      </c>
      <c r="L32" s="68" t="s">
        <v>81</v>
      </c>
      <c r="M32" s="61">
        <f>'2.'!M32+'3.'!M32</f>
        <v>2000000</v>
      </c>
      <c r="N32" s="61">
        <f>'2.'!N32+'3.'!N32</f>
        <v>51879945</v>
      </c>
      <c r="O32" s="61">
        <f>'2.'!O32+'3.'!O32</f>
        <v>-3996163</v>
      </c>
      <c r="P32" s="62">
        <f t="shared" si="0"/>
        <v>47883782</v>
      </c>
      <c r="Q32" s="69"/>
      <c r="R32" s="69"/>
    </row>
    <row r="33" spans="1:16" s="49" customFormat="1" ht="18" customHeight="1" x14ac:dyDescent="0.2">
      <c r="A33" s="461"/>
      <c r="B33" s="462"/>
      <c r="C33" s="462"/>
      <c r="D33" s="462"/>
      <c r="E33" s="462"/>
      <c r="F33" s="462"/>
      <c r="G33" s="462"/>
      <c r="H33" s="463"/>
      <c r="I33" s="57"/>
      <c r="J33" s="438"/>
      <c r="K33" s="67" t="s">
        <v>80</v>
      </c>
      <c r="L33" s="68" t="s">
        <v>82</v>
      </c>
      <c r="M33" s="61">
        <f>'2.'!M33+'3.'!M33</f>
        <v>30000000</v>
      </c>
      <c r="N33" s="61">
        <f>'2.'!N33+'3.'!N33</f>
        <v>102500000</v>
      </c>
      <c r="O33" s="61">
        <f>'2.'!O33+'3.'!O33</f>
        <v>0</v>
      </c>
      <c r="P33" s="62">
        <f t="shared" si="0"/>
        <v>102500000</v>
      </c>
    </row>
    <row r="34" spans="1:16" s="49" customFormat="1" ht="18" customHeight="1" x14ac:dyDescent="0.2">
      <c r="A34" s="461"/>
      <c r="B34" s="462"/>
      <c r="C34" s="462"/>
      <c r="D34" s="462"/>
      <c r="E34" s="462"/>
      <c r="F34" s="462"/>
      <c r="G34" s="462"/>
      <c r="H34" s="463"/>
      <c r="I34" s="57"/>
      <c r="J34" s="438"/>
      <c r="K34" s="59" t="s">
        <v>2</v>
      </c>
      <c r="L34" s="60" t="s">
        <v>9</v>
      </c>
      <c r="M34" s="61">
        <f>'2.'!M34+'3.'!M34</f>
        <v>4000000</v>
      </c>
      <c r="N34" s="61">
        <f>'2.'!N34+'3.'!N34</f>
        <v>6100000</v>
      </c>
      <c r="O34" s="61">
        <f>'2.'!O34+'3.'!O34</f>
        <v>210000</v>
      </c>
      <c r="P34" s="62">
        <f t="shared" si="0"/>
        <v>6310000</v>
      </c>
    </row>
    <row r="35" spans="1:16" s="49" customFormat="1" ht="18" customHeight="1" x14ac:dyDescent="0.2">
      <c r="A35" s="464"/>
      <c r="B35" s="465"/>
      <c r="C35" s="465"/>
      <c r="D35" s="465"/>
      <c r="E35" s="465"/>
      <c r="F35" s="465"/>
      <c r="G35" s="465"/>
      <c r="H35" s="466"/>
      <c r="I35" s="70"/>
      <c r="J35" s="439"/>
      <c r="K35" s="59" t="s">
        <v>4</v>
      </c>
      <c r="L35" s="60" t="s">
        <v>8</v>
      </c>
      <c r="M35" s="61">
        <f>'2.'!M35+'3.'!M35</f>
        <v>0</v>
      </c>
      <c r="N35" s="61">
        <f>'2.'!N35+'3.'!N35</f>
        <v>0</v>
      </c>
      <c r="O35" s="61">
        <f>'2.'!O35+'3.'!O35</f>
        <v>0</v>
      </c>
      <c r="P35" s="62">
        <f t="shared" si="0"/>
        <v>0</v>
      </c>
    </row>
    <row r="36" spans="1:16" s="49" customFormat="1" ht="18" customHeight="1" x14ac:dyDescent="0.2">
      <c r="A36" s="71" t="s">
        <v>0</v>
      </c>
      <c r="B36" s="421" t="s">
        <v>19</v>
      </c>
      <c r="C36" s="422"/>
      <c r="D36" s="423"/>
      <c r="E36" s="72">
        <f>+E37+E38+E39</f>
        <v>955839380</v>
      </c>
      <c r="F36" s="72">
        <f>+F37+F38+F39</f>
        <v>987109688</v>
      </c>
      <c r="G36" s="72">
        <f>+G37+G38+G39</f>
        <v>24534479</v>
      </c>
      <c r="H36" s="72">
        <f>+H37+H38+H39</f>
        <v>1011644167</v>
      </c>
      <c r="I36" s="73" t="s">
        <v>0</v>
      </c>
      <c r="J36" s="467" t="s">
        <v>14</v>
      </c>
      <c r="K36" s="468"/>
      <c r="L36" s="468"/>
      <c r="M36" s="74">
        <f>+M37+M38+M39</f>
        <v>1337219706</v>
      </c>
      <c r="N36" s="74">
        <f>+N37+N38+N39</f>
        <v>1506827818</v>
      </c>
      <c r="O36" s="74">
        <f>+O37+O38+O39</f>
        <v>22806479</v>
      </c>
      <c r="P36" s="75">
        <f t="shared" si="0"/>
        <v>1529634297</v>
      </c>
    </row>
    <row r="37" spans="1:16" s="49" customFormat="1" ht="18" customHeight="1" x14ac:dyDescent="0.2">
      <c r="A37" s="76"/>
      <c r="B37" s="469" t="s">
        <v>69</v>
      </c>
      <c r="C37" s="77" t="s">
        <v>1</v>
      </c>
      <c r="D37" s="78" t="s">
        <v>7</v>
      </c>
      <c r="E37" s="79">
        <f t="shared" ref="E37:F39" si="2">+E27+E23+E19+E15</f>
        <v>955839380</v>
      </c>
      <c r="F37" s="79">
        <f t="shared" si="2"/>
        <v>987109688</v>
      </c>
      <c r="G37" s="79">
        <f>+G27+G23+G19+G15</f>
        <v>24534479</v>
      </c>
      <c r="H37" s="79">
        <f t="shared" ref="G37:H39" si="3">+H27+H23+H19+H15</f>
        <v>1011644167</v>
      </c>
      <c r="I37" s="429"/>
      <c r="J37" s="472" t="s">
        <v>68</v>
      </c>
      <c r="K37" s="77" t="s">
        <v>1</v>
      </c>
      <c r="L37" s="78" t="s">
        <v>7</v>
      </c>
      <c r="M37" s="79">
        <f>+M31+M27+M23+M19+M15</f>
        <v>1331952206</v>
      </c>
      <c r="N37" s="79">
        <f>+N31+N27+N23+N19+N15</f>
        <v>1499460318</v>
      </c>
      <c r="O37" s="79">
        <f>+O31+O27+O23+O19+O15</f>
        <v>16225637</v>
      </c>
      <c r="P37" s="80">
        <f t="shared" si="0"/>
        <v>1515685955</v>
      </c>
    </row>
    <row r="38" spans="1:16" s="49" customFormat="1" ht="18" customHeight="1" x14ac:dyDescent="0.2">
      <c r="A38" s="76"/>
      <c r="B38" s="470"/>
      <c r="C38" s="77" t="s">
        <v>2</v>
      </c>
      <c r="D38" s="78" t="s">
        <v>9</v>
      </c>
      <c r="E38" s="79">
        <f t="shared" si="2"/>
        <v>0</v>
      </c>
      <c r="F38" s="79">
        <f t="shared" si="2"/>
        <v>0</v>
      </c>
      <c r="G38" s="79">
        <f t="shared" si="3"/>
        <v>0</v>
      </c>
      <c r="H38" s="79">
        <f t="shared" si="3"/>
        <v>0</v>
      </c>
      <c r="I38" s="429"/>
      <c r="J38" s="472"/>
      <c r="K38" s="77" t="s">
        <v>2</v>
      </c>
      <c r="L38" s="78" t="s">
        <v>9</v>
      </c>
      <c r="M38" s="79">
        <f t="shared" ref="M38:O39" si="4">+M34+M28+M24+M20+M16</f>
        <v>5267500</v>
      </c>
      <c r="N38" s="79">
        <f t="shared" si="4"/>
        <v>7367500</v>
      </c>
      <c r="O38" s="79">
        <f t="shared" si="4"/>
        <v>6580842</v>
      </c>
      <c r="P38" s="80">
        <f t="shared" si="0"/>
        <v>13948342</v>
      </c>
    </row>
    <row r="39" spans="1:16" s="49" customFormat="1" ht="18" customHeight="1" x14ac:dyDescent="0.2">
      <c r="A39" s="81"/>
      <c r="B39" s="471"/>
      <c r="C39" s="77" t="s">
        <v>4</v>
      </c>
      <c r="D39" s="78" t="s">
        <v>8</v>
      </c>
      <c r="E39" s="79">
        <f t="shared" si="2"/>
        <v>0</v>
      </c>
      <c r="F39" s="79">
        <f t="shared" si="2"/>
        <v>0</v>
      </c>
      <c r="G39" s="79">
        <f t="shared" si="3"/>
        <v>0</v>
      </c>
      <c r="H39" s="79">
        <f>+H29+H25+H21+H17</f>
        <v>0</v>
      </c>
      <c r="I39" s="430"/>
      <c r="J39" s="472"/>
      <c r="K39" s="77" t="s">
        <v>4</v>
      </c>
      <c r="L39" s="78" t="s">
        <v>8</v>
      </c>
      <c r="M39" s="79">
        <f t="shared" si="4"/>
        <v>0</v>
      </c>
      <c r="N39" s="79">
        <f t="shared" si="4"/>
        <v>0</v>
      </c>
      <c r="O39" s="79">
        <f t="shared" si="4"/>
        <v>0</v>
      </c>
      <c r="P39" s="80">
        <f t="shared" si="0"/>
        <v>0</v>
      </c>
    </row>
    <row r="40" spans="1:16" s="83" customFormat="1" ht="30.75" customHeight="1" thickBot="1" x14ac:dyDescent="0.25">
      <c r="A40" s="454" t="s">
        <v>83</v>
      </c>
      <c r="B40" s="455"/>
      <c r="C40" s="455"/>
      <c r="D40" s="456"/>
      <c r="E40" s="246">
        <f>+M36-E36</f>
        <v>381380326</v>
      </c>
      <c r="F40" s="246">
        <f>+N36-F36</f>
        <v>519718130</v>
      </c>
      <c r="G40" s="246"/>
      <c r="H40" s="246">
        <f>+P36-H36</f>
        <v>517990130</v>
      </c>
      <c r="I40" s="454" t="s">
        <v>84</v>
      </c>
      <c r="J40" s="455"/>
      <c r="K40" s="455"/>
      <c r="L40" s="456"/>
      <c r="M40" s="247"/>
      <c r="N40" s="247"/>
      <c r="O40" s="246">
        <f>G36-O36</f>
        <v>1728000</v>
      </c>
      <c r="P40" s="248"/>
    </row>
    <row r="41" spans="1:16" s="49" customFormat="1" ht="18" customHeight="1" x14ac:dyDescent="0.2">
      <c r="A41" s="443" t="s">
        <v>40</v>
      </c>
      <c r="B41" s="444"/>
      <c r="C41" s="444"/>
      <c r="D41" s="444"/>
      <c r="E41" s="444"/>
      <c r="F41" s="444"/>
      <c r="G41" s="444"/>
      <c r="H41" s="444"/>
      <c r="I41" s="444"/>
      <c r="J41" s="444"/>
      <c r="K41" s="444"/>
      <c r="L41" s="444"/>
      <c r="M41" s="444"/>
      <c r="N41" s="444"/>
      <c r="O41" s="444"/>
      <c r="P41" s="445"/>
    </row>
    <row r="42" spans="1:16" s="49" customFormat="1" ht="18" customHeight="1" x14ac:dyDescent="0.2">
      <c r="A42" s="50" t="s">
        <v>3</v>
      </c>
      <c r="B42" s="446" t="s">
        <v>20</v>
      </c>
      <c r="C42" s="447"/>
      <c r="D42" s="448"/>
      <c r="E42" s="51">
        <f>E43+E47+E51</f>
        <v>2664000</v>
      </c>
      <c r="F42" s="51">
        <f>F43+F47+F51</f>
        <v>2664000</v>
      </c>
      <c r="G42" s="51">
        <f>G43+G47+G51</f>
        <v>0</v>
      </c>
      <c r="H42" s="51">
        <f>H43+H47+H51</f>
        <v>2664000</v>
      </c>
      <c r="I42" s="84" t="s">
        <v>3</v>
      </c>
      <c r="J42" s="449" t="s">
        <v>18</v>
      </c>
      <c r="K42" s="450"/>
      <c r="L42" s="451"/>
      <c r="M42" s="53">
        <f>M43+M47+M51</f>
        <v>207535276</v>
      </c>
      <c r="N42" s="53">
        <f>N43+N47+N51</f>
        <v>242726026</v>
      </c>
      <c r="O42" s="53">
        <f>O43+O47+O51</f>
        <v>1728000</v>
      </c>
      <c r="P42" s="54">
        <f>N42+O42</f>
        <v>244454026</v>
      </c>
    </row>
    <row r="43" spans="1:16" s="49" customFormat="1" ht="18" customHeight="1" x14ac:dyDescent="0.2">
      <c r="A43" s="56"/>
      <c r="B43" s="432" t="s">
        <v>62</v>
      </c>
      <c r="C43" s="452" t="s">
        <v>93</v>
      </c>
      <c r="D43" s="453"/>
      <c r="E43" s="51">
        <f>E44+E45+E46</f>
        <v>0</v>
      </c>
      <c r="F43" s="51">
        <f>F44+F45+F46</f>
        <v>0</v>
      </c>
      <c r="G43" s="51">
        <f>G44+G45+G46</f>
        <v>0</v>
      </c>
      <c r="H43" s="51">
        <f>H44+H45+H46</f>
        <v>0</v>
      </c>
      <c r="I43" s="57"/>
      <c r="J43" s="437" t="s">
        <v>51</v>
      </c>
      <c r="K43" s="440" t="s">
        <v>11</v>
      </c>
      <c r="L43" s="441"/>
      <c r="M43" s="51">
        <f>M44+M45+M46</f>
        <v>207535276</v>
      </c>
      <c r="N43" s="51">
        <f>N44+N45+N46</f>
        <v>240535276</v>
      </c>
      <c r="O43" s="51">
        <f>O44+O45+O46</f>
        <v>1728000</v>
      </c>
      <c r="P43" s="58">
        <f>N43+O43</f>
        <v>242263276</v>
      </c>
    </row>
    <row r="44" spans="1:16" s="49" customFormat="1" ht="18" customHeight="1" x14ac:dyDescent="0.2">
      <c r="A44" s="56"/>
      <c r="B44" s="433"/>
      <c r="C44" s="59" t="s">
        <v>1</v>
      </c>
      <c r="D44" s="60" t="s">
        <v>7</v>
      </c>
      <c r="E44" s="61">
        <f>'2.'!E44+'3.'!E44</f>
        <v>0</v>
      </c>
      <c r="F44" s="61">
        <f>'2.'!F44+'3.'!F44</f>
        <v>0</v>
      </c>
      <c r="G44" s="61">
        <f>'2.'!G44+'3.'!G44</f>
        <v>0</v>
      </c>
      <c r="H44" s="62">
        <f>+F44+G44</f>
        <v>0</v>
      </c>
      <c r="I44" s="57"/>
      <c r="J44" s="438"/>
      <c r="K44" s="59" t="s">
        <v>1</v>
      </c>
      <c r="L44" s="60" t="s">
        <v>7</v>
      </c>
      <c r="M44" s="61">
        <f>'2.'!M44+'3.'!M44</f>
        <v>207535276</v>
      </c>
      <c r="N44" s="61">
        <f>'2.'!N44+'3.'!N44</f>
        <v>240535276</v>
      </c>
      <c r="O44" s="61">
        <f>'2.'!O44+'3.'!O44</f>
        <v>1728000</v>
      </c>
      <c r="P44" s="62">
        <f>N44+O44</f>
        <v>242263276</v>
      </c>
    </row>
    <row r="45" spans="1:16" s="49" customFormat="1" ht="18" customHeight="1" x14ac:dyDescent="0.2">
      <c r="A45" s="56"/>
      <c r="B45" s="433"/>
      <c r="C45" s="59" t="s">
        <v>2</v>
      </c>
      <c r="D45" s="60" t="s">
        <v>9</v>
      </c>
      <c r="E45" s="61">
        <f>'2.'!E45+'3.'!E45</f>
        <v>0</v>
      </c>
      <c r="F45" s="61">
        <f>'2.'!F45+'3.'!F45</f>
        <v>0</v>
      </c>
      <c r="G45" s="61">
        <f>'2.'!G45+'3.'!G45</f>
        <v>0</v>
      </c>
      <c r="H45" s="62">
        <f>+F45+G45</f>
        <v>0</v>
      </c>
      <c r="I45" s="57"/>
      <c r="J45" s="438"/>
      <c r="K45" s="59" t="s">
        <v>2</v>
      </c>
      <c r="L45" s="60" t="s">
        <v>9</v>
      </c>
      <c r="M45" s="61">
        <f>'2.'!M45+'3.'!M45</f>
        <v>0</v>
      </c>
      <c r="N45" s="61">
        <f>'2.'!N45+'3.'!N45</f>
        <v>0</v>
      </c>
      <c r="O45" s="61">
        <f>'2.'!O45+'3.'!O45</f>
        <v>0</v>
      </c>
      <c r="P45" s="62">
        <f t="shared" ref="P45:P54" si="5">N45+O45</f>
        <v>0</v>
      </c>
    </row>
    <row r="46" spans="1:16" s="49" customFormat="1" ht="18" customHeight="1" x14ac:dyDescent="0.2">
      <c r="A46" s="56"/>
      <c r="B46" s="434"/>
      <c r="C46" s="59" t="s">
        <v>4</v>
      </c>
      <c r="D46" s="60" t="s">
        <v>8</v>
      </c>
      <c r="E46" s="61">
        <f>'2.'!E46+'3.'!E46</f>
        <v>0</v>
      </c>
      <c r="F46" s="61">
        <f>'2.'!F46+'3.'!F46</f>
        <v>0</v>
      </c>
      <c r="G46" s="61">
        <f>'2.'!G46+'3.'!G46</f>
        <v>0</v>
      </c>
      <c r="H46" s="62">
        <f>+F46+G46</f>
        <v>0</v>
      </c>
      <c r="I46" s="57"/>
      <c r="J46" s="439"/>
      <c r="K46" s="59" t="s">
        <v>4</v>
      </c>
      <c r="L46" s="60" t="s">
        <v>8</v>
      </c>
      <c r="M46" s="61">
        <f>'2.'!M46+'3.'!M46</f>
        <v>0</v>
      </c>
      <c r="N46" s="61">
        <f>'2.'!N46+'3.'!N46</f>
        <v>0</v>
      </c>
      <c r="O46" s="61">
        <f>'2.'!O46+'3.'!O46</f>
        <v>0</v>
      </c>
      <c r="P46" s="62">
        <f t="shared" si="5"/>
        <v>0</v>
      </c>
    </row>
    <row r="47" spans="1:16" s="49" customFormat="1" ht="18" customHeight="1" x14ac:dyDescent="0.2">
      <c r="A47" s="56"/>
      <c r="B47" s="432" t="s">
        <v>65</v>
      </c>
      <c r="C47" s="435" t="s">
        <v>21</v>
      </c>
      <c r="D47" s="436"/>
      <c r="E47" s="51">
        <f>E48+E49+E50</f>
        <v>2664000</v>
      </c>
      <c r="F47" s="51">
        <f>F48+F49+F50</f>
        <v>2664000</v>
      </c>
      <c r="G47" s="51">
        <f>G48+G49+G50</f>
        <v>0</v>
      </c>
      <c r="H47" s="51">
        <f>H48+H49+H50</f>
        <v>2664000</v>
      </c>
      <c r="I47" s="57"/>
      <c r="J47" s="437" t="s">
        <v>52</v>
      </c>
      <c r="K47" s="435" t="s">
        <v>12</v>
      </c>
      <c r="L47" s="436"/>
      <c r="M47" s="51">
        <f>M48+M49+M50</f>
        <v>0</v>
      </c>
      <c r="N47" s="51">
        <f>N48+N49+N50</f>
        <v>2190750</v>
      </c>
      <c r="O47" s="51">
        <f>O48+O49+O50</f>
        <v>0</v>
      </c>
      <c r="P47" s="64">
        <f t="shared" si="5"/>
        <v>2190750</v>
      </c>
    </row>
    <row r="48" spans="1:16" s="49" customFormat="1" ht="18" customHeight="1" x14ac:dyDescent="0.2">
      <c r="A48" s="56"/>
      <c r="B48" s="433"/>
      <c r="C48" s="59" t="s">
        <v>1</v>
      </c>
      <c r="D48" s="60" t="s">
        <v>7</v>
      </c>
      <c r="E48" s="61">
        <f>'2.'!E48+'3.'!E48</f>
        <v>2664000</v>
      </c>
      <c r="F48" s="61">
        <f>'2.'!F48+'3.'!F48</f>
        <v>2664000</v>
      </c>
      <c r="G48" s="61">
        <f>'2.'!G48+'3.'!G48</f>
        <v>0</v>
      </c>
      <c r="H48" s="62">
        <f>+G48+F48</f>
        <v>2664000</v>
      </c>
      <c r="I48" s="57"/>
      <c r="J48" s="438"/>
      <c r="K48" s="59" t="s">
        <v>1</v>
      </c>
      <c r="L48" s="60" t="s">
        <v>7</v>
      </c>
      <c r="M48" s="61">
        <f>'2.'!M48+'3.'!M48</f>
        <v>0</v>
      </c>
      <c r="N48" s="61">
        <f>'2.'!N48+'3.'!N48</f>
        <v>2190750</v>
      </c>
      <c r="O48" s="61">
        <f>'2.'!O48+'3.'!O48</f>
        <v>0</v>
      </c>
      <c r="P48" s="62">
        <f t="shared" si="5"/>
        <v>2190750</v>
      </c>
    </row>
    <row r="49" spans="1:16" s="49" customFormat="1" ht="18" customHeight="1" x14ac:dyDescent="0.2">
      <c r="A49" s="56"/>
      <c r="B49" s="433"/>
      <c r="C49" s="59" t="s">
        <v>2</v>
      </c>
      <c r="D49" s="60" t="s">
        <v>9</v>
      </c>
      <c r="E49" s="61">
        <f>'2.'!E49+'3.'!E49</f>
        <v>0</v>
      </c>
      <c r="F49" s="61">
        <f>'2.'!F49+'3.'!F49</f>
        <v>0</v>
      </c>
      <c r="G49" s="61">
        <f>'2.'!G49+'3.'!G49</f>
        <v>0</v>
      </c>
      <c r="H49" s="62">
        <f>+G49+F49</f>
        <v>0</v>
      </c>
      <c r="I49" s="57"/>
      <c r="J49" s="438"/>
      <c r="K49" s="59" t="s">
        <v>2</v>
      </c>
      <c r="L49" s="60" t="s">
        <v>9</v>
      </c>
      <c r="M49" s="61">
        <f>'2.'!M49+'3.'!M49</f>
        <v>0</v>
      </c>
      <c r="N49" s="61">
        <f>'2.'!N49+'3.'!N49</f>
        <v>0</v>
      </c>
      <c r="O49" s="61">
        <f>'2.'!O49+'3.'!O49</f>
        <v>0</v>
      </c>
      <c r="P49" s="62">
        <f t="shared" si="5"/>
        <v>0</v>
      </c>
    </row>
    <row r="50" spans="1:16" s="49" customFormat="1" ht="18" customHeight="1" x14ac:dyDescent="0.2">
      <c r="A50" s="56"/>
      <c r="B50" s="434"/>
      <c r="C50" s="59" t="s">
        <v>4</v>
      </c>
      <c r="D50" s="60" t="s">
        <v>8</v>
      </c>
      <c r="E50" s="61">
        <f>'2.'!E50+'3.'!E50</f>
        <v>0</v>
      </c>
      <c r="F50" s="61">
        <f>'2.'!F50+'3.'!F50</f>
        <v>0</v>
      </c>
      <c r="G50" s="61">
        <f>'2.'!G50+'3.'!G50</f>
        <v>0</v>
      </c>
      <c r="H50" s="62">
        <f>+G50+F50</f>
        <v>0</v>
      </c>
      <c r="I50" s="57"/>
      <c r="J50" s="439"/>
      <c r="K50" s="59" t="s">
        <v>4</v>
      </c>
      <c r="L50" s="60" t="s">
        <v>8</v>
      </c>
      <c r="M50" s="61">
        <f>'2.'!M50+'3.'!M50</f>
        <v>0</v>
      </c>
      <c r="N50" s="61">
        <f>'2.'!N50+'3.'!N50</f>
        <v>0</v>
      </c>
      <c r="O50" s="61">
        <f>'2.'!O50+'3.'!O50</f>
        <v>0</v>
      </c>
      <c r="P50" s="62">
        <f t="shared" si="5"/>
        <v>0</v>
      </c>
    </row>
    <row r="51" spans="1:16" s="49" customFormat="1" ht="18" customHeight="1" x14ac:dyDescent="0.2">
      <c r="A51" s="56"/>
      <c r="B51" s="432" t="s">
        <v>67</v>
      </c>
      <c r="C51" s="440" t="s">
        <v>43</v>
      </c>
      <c r="D51" s="441"/>
      <c r="E51" s="51">
        <f>E52+E53+E54</f>
        <v>0</v>
      </c>
      <c r="F51" s="51">
        <f>F52+F53+F54</f>
        <v>0</v>
      </c>
      <c r="G51" s="51">
        <f>G52+G53+G54</f>
        <v>0</v>
      </c>
      <c r="H51" s="51">
        <f>H52+H53+H54</f>
        <v>0</v>
      </c>
      <c r="I51" s="57"/>
      <c r="J51" s="437" t="s">
        <v>53</v>
      </c>
      <c r="K51" s="442" t="s">
        <v>54</v>
      </c>
      <c r="L51" s="442"/>
      <c r="M51" s="51">
        <f>M52+M53+M54</f>
        <v>0</v>
      </c>
      <c r="N51" s="51">
        <f>N52+N53+N54</f>
        <v>0</v>
      </c>
      <c r="O51" s="51">
        <f>O52+O53+O54</f>
        <v>0</v>
      </c>
      <c r="P51" s="65">
        <f t="shared" si="5"/>
        <v>0</v>
      </c>
    </row>
    <row r="52" spans="1:16" s="49" customFormat="1" ht="18" customHeight="1" x14ac:dyDescent="0.2">
      <c r="A52" s="56"/>
      <c r="B52" s="433"/>
      <c r="C52" s="59" t="s">
        <v>1</v>
      </c>
      <c r="D52" s="60" t="s">
        <v>7</v>
      </c>
      <c r="E52" s="61">
        <f>'2.'!E52+'3.'!E52</f>
        <v>0</v>
      </c>
      <c r="F52" s="61">
        <f>'2.'!F52+'3.'!F52</f>
        <v>0</v>
      </c>
      <c r="G52" s="61">
        <f>'2.'!G52+'3.'!G52</f>
        <v>0</v>
      </c>
      <c r="H52" s="62">
        <f>+G52+F52</f>
        <v>0</v>
      </c>
      <c r="I52" s="57"/>
      <c r="J52" s="438"/>
      <c r="K52" s="59" t="s">
        <v>1</v>
      </c>
      <c r="L52" s="60" t="s">
        <v>7</v>
      </c>
      <c r="M52" s="61">
        <f>'2.'!M52+'3.'!M52</f>
        <v>0</v>
      </c>
      <c r="N52" s="61">
        <f>'2.'!N52+'3.'!N52</f>
        <v>0</v>
      </c>
      <c r="O52" s="61">
        <f>'2.'!O52+'3.'!O52</f>
        <v>0</v>
      </c>
      <c r="P52" s="62">
        <f>N52+O52</f>
        <v>0</v>
      </c>
    </row>
    <row r="53" spans="1:16" s="49" customFormat="1" ht="18" customHeight="1" x14ac:dyDescent="0.2">
      <c r="A53" s="56"/>
      <c r="B53" s="433"/>
      <c r="C53" s="59" t="s">
        <v>2</v>
      </c>
      <c r="D53" s="60" t="s">
        <v>9</v>
      </c>
      <c r="E53" s="61">
        <f>'2.'!E53+'3.'!E53</f>
        <v>0</v>
      </c>
      <c r="F53" s="61">
        <f>'2.'!F53+'3.'!F53</f>
        <v>0</v>
      </c>
      <c r="G53" s="61">
        <f>'2.'!G53+'3.'!G53</f>
        <v>0</v>
      </c>
      <c r="H53" s="62">
        <f>+G53+F53</f>
        <v>0</v>
      </c>
      <c r="I53" s="57"/>
      <c r="J53" s="438"/>
      <c r="K53" s="59" t="s">
        <v>2</v>
      </c>
      <c r="L53" s="60" t="s">
        <v>9</v>
      </c>
      <c r="M53" s="61">
        <f>'2.'!M53+'3.'!M53</f>
        <v>0</v>
      </c>
      <c r="N53" s="61">
        <f>'2.'!N53+'3.'!N53</f>
        <v>0</v>
      </c>
      <c r="O53" s="61">
        <f>'2.'!O53+'3.'!O53</f>
        <v>0</v>
      </c>
      <c r="P53" s="62">
        <f>N53+O53</f>
        <v>0</v>
      </c>
    </row>
    <row r="54" spans="1:16" s="49" customFormat="1" ht="18" customHeight="1" x14ac:dyDescent="0.2">
      <c r="A54" s="66"/>
      <c r="B54" s="434"/>
      <c r="C54" s="59" t="s">
        <v>4</v>
      </c>
      <c r="D54" s="60" t="s">
        <v>8</v>
      </c>
      <c r="E54" s="61">
        <f>'2.'!E54+'3.'!E54</f>
        <v>0</v>
      </c>
      <c r="F54" s="61">
        <f>'2.'!F54+'3.'!F54</f>
        <v>0</v>
      </c>
      <c r="G54" s="61">
        <f>'2.'!G54+'3.'!G54</f>
        <v>0</v>
      </c>
      <c r="H54" s="62">
        <f>+G54+F54</f>
        <v>0</v>
      </c>
      <c r="I54" s="70"/>
      <c r="J54" s="439"/>
      <c r="K54" s="59" t="s">
        <v>4</v>
      </c>
      <c r="L54" s="60" t="s">
        <v>8</v>
      </c>
      <c r="M54" s="61">
        <f>'2.'!M54+'3.'!M54</f>
        <v>0</v>
      </c>
      <c r="N54" s="61">
        <f>'2.'!N54+'3.'!N54</f>
        <v>0</v>
      </c>
      <c r="O54" s="61">
        <f>'2.'!O54+'3.'!O54</f>
        <v>0</v>
      </c>
      <c r="P54" s="62">
        <f t="shared" si="5"/>
        <v>0</v>
      </c>
    </row>
    <row r="55" spans="1:16" s="49" customFormat="1" ht="18" customHeight="1" x14ac:dyDescent="0.2">
      <c r="A55" s="85" t="s">
        <v>3</v>
      </c>
      <c r="B55" s="412" t="s">
        <v>22</v>
      </c>
      <c r="C55" s="413"/>
      <c r="D55" s="414"/>
      <c r="E55" s="74">
        <f>E56+E57+E58</f>
        <v>2664000</v>
      </c>
      <c r="F55" s="74">
        <f>F56+F57+F58</f>
        <v>2664000</v>
      </c>
      <c r="G55" s="74">
        <f>G56+G57+G58</f>
        <v>0</v>
      </c>
      <c r="H55" s="74">
        <f>H56+H57+H58</f>
        <v>2664000</v>
      </c>
      <c r="I55" s="86" t="s">
        <v>3</v>
      </c>
      <c r="J55" s="412" t="s">
        <v>15</v>
      </c>
      <c r="K55" s="413"/>
      <c r="L55" s="414"/>
      <c r="M55" s="74">
        <f>M56+M57+M58</f>
        <v>207535276</v>
      </c>
      <c r="N55" s="74">
        <f>N56+N57+N58</f>
        <v>242726026</v>
      </c>
      <c r="O55" s="74">
        <f>O56+O57+O58</f>
        <v>1728000</v>
      </c>
      <c r="P55" s="75">
        <f>P56+P57+P58</f>
        <v>244454026</v>
      </c>
    </row>
    <row r="56" spans="1:16" s="49" customFormat="1" ht="18" customHeight="1" x14ac:dyDescent="0.2">
      <c r="A56" s="76"/>
      <c r="B56" s="415" t="s">
        <v>70</v>
      </c>
      <c r="C56" s="77" t="s">
        <v>1</v>
      </c>
      <c r="D56" s="78" t="s">
        <v>7</v>
      </c>
      <c r="E56" s="79">
        <f t="shared" ref="E56:H58" si="6">E44+E48+E52</f>
        <v>2664000</v>
      </c>
      <c r="F56" s="79">
        <f t="shared" si="6"/>
        <v>2664000</v>
      </c>
      <c r="G56" s="79">
        <f t="shared" si="6"/>
        <v>0</v>
      </c>
      <c r="H56" s="79">
        <f>H44+H48+H52</f>
        <v>2664000</v>
      </c>
      <c r="I56" s="87"/>
      <c r="J56" s="417" t="s">
        <v>55</v>
      </c>
      <c r="K56" s="77" t="s">
        <v>1</v>
      </c>
      <c r="L56" s="78" t="s">
        <v>7</v>
      </c>
      <c r="M56" s="79">
        <f>M44+M48+M52</f>
        <v>207535276</v>
      </c>
      <c r="N56" s="79">
        <f>N44+N48+N52</f>
        <v>242726026</v>
      </c>
      <c r="O56" s="79">
        <f>O44+O48+O52</f>
        <v>1728000</v>
      </c>
      <c r="P56" s="80">
        <f>P44+P48+P52</f>
        <v>244454026</v>
      </c>
    </row>
    <row r="57" spans="1:16" s="49" customFormat="1" ht="18" customHeight="1" x14ac:dyDescent="0.2">
      <c r="A57" s="76"/>
      <c r="B57" s="416"/>
      <c r="C57" s="77" t="s">
        <v>2</v>
      </c>
      <c r="D57" s="78" t="s">
        <v>9</v>
      </c>
      <c r="E57" s="79">
        <f t="shared" si="6"/>
        <v>0</v>
      </c>
      <c r="F57" s="79">
        <f t="shared" si="6"/>
        <v>0</v>
      </c>
      <c r="G57" s="79">
        <f t="shared" si="6"/>
        <v>0</v>
      </c>
      <c r="H57" s="79">
        <f t="shared" si="6"/>
        <v>0</v>
      </c>
      <c r="I57" s="87"/>
      <c r="J57" s="417"/>
      <c r="K57" s="77" t="s">
        <v>2</v>
      </c>
      <c r="L57" s="78" t="s">
        <v>9</v>
      </c>
      <c r="M57" s="79">
        <f t="shared" ref="M57:O58" si="7">M45+M49+M53</f>
        <v>0</v>
      </c>
      <c r="N57" s="79">
        <f t="shared" si="7"/>
        <v>0</v>
      </c>
      <c r="O57" s="79">
        <f t="shared" si="7"/>
        <v>0</v>
      </c>
      <c r="P57" s="80">
        <f>P45+P49+P53</f>
        <v>0</v>
      </c>
    </row>
    <row r="58" spans="1:16" s="49" customFormat="1" ht="18" customHeight="1" x14ac:dyDescent="0.2">
      <c r="A58" s="76"/>
      <c r="B58" s="416"/>
      <c r="C58" s="88" t="s">
        <v>4</v>
      </c>
      <c r="D58" s="89" t="s">
        <v>8</v>
      </c>
      <c r="E58" s="79">
        <f t="shared" si="6"/>
        <v>0</v>
      </c>
      <c r="F58" s="79">
        <f t="shared" si="6"/>
        <v>0</v>
      </c>
      <c r="G58" s="79">
        <f t="shared" si="6"/>
        <v>0</v>
      </c>
      <c r="H58" s="79">
        <f t="shared" si="6"/>
        <v>0</v>
      </c>
      <c r="I58" s="87"/>
      <c r="J58" s="418"/>
      <c r="K58" s="88" t="s">
        <v>4</v>
      </c>
      <c r="L58" s="89" t="s">
        <v>8</v>
      </c>
      <c r="M58" s="79">
        <f t="shared" si="7"/>
        <v>0</v>
      </c>
      <c r="N58" s="79">
        <f t="shared" si="7"/>
        <v>0</v>
      </c>
      <c r="O58" s="79">
        <f t="shared" si="7"/>
        <v>0</v>
      </c>
      <c r="P58" s="90">
        <f>P46+P50+P54</f>
        <v>0</v>
      </c>
    </row>
    <row r="59" spans="1:16" s="91" customFormat="1" ht="31.5" customHeight="1" thickBot="1" x14ac:dyDescent="0.25">
      <c r="A59" s="419" t="s">
        <v>85</v>
      </c>
      <c r="B59" s="420"/>
      <c r="C59" s="420"/>
      <c r="D59" s="420"/>
      <c r="E59" s="249">
        <f>M55-E55</f>
        <v>204871276</v>
      </c>
      <c r="F59" s="249">
        <f>N55-F55</f>
        <v>240062026</v>
      </c>
      <c r="G59" s="249">
        <f>O55-G55</f>
        <v>1728000</v>
      </c>
      <c r="H59" s="249">
        <f>+P55-H55</f>
        <v>241790026</v>
      </c>
      <c r="I59" s="419" t="s">
        <v>86</v>
      </c>
      <c r="J59" s="420"/>
      <c r="K59" s="420"/>
      <c r="L59" s="420"/>
      <c r="M59" s="250"/>
      <c r="N59" s="250"/>
      <c r="O59" s="251"/>
      <c r="P59" s="252"/>
    </row>
    <row r="60" spans="1:16" s="49" customFormat="1" ht="18" customHeight="1" x14ac:dyDescent="0.2">
      <c r="A60" s="71" t="s">
        <v>29</v>
      </c>
      <c r="B60" s="421" t="s">
        <v>30</v>
      </c>
      <c r="C60" s="422"/>
      <c r="D60" s="423"/>
      <c r="E60" s="92">
        <f>E61+E62+E63</f>
        <v>958503380</v>
      </c>
      <c r="F60" s="92">
        <f>F61+F62+F63</f>
        <v>989773688</v>
      </c>
      <c r="G60" s="92">
        <f>G61+G62+G63</f>
        <v>24534479</v>
      </c>
      <c r="H60" s="92">
        <f>H61+H62+H63</f>
        <v>1014308167</v>
      </c>
      <c r="I60" s="93" t="s">
        <v>29</v>
      </c>
      <c r="J60" s="424" t="s">
        <v>32</v>
      </c>
      <c r="K60" s="425"/>
      <c r="L60" s="425"/>
      <c r="M60" s="94">
        <f>M61+M62+M63</f>
        <v>1544754982</v>
      </c>
      <c r="N60" s="94">
        <f>N61+N62+N63</f>
        <v>1749553844</v>
      </c>
      <c r="O60" s="94">
        <f>O61+O62+O63</f>
        <v>24534479</v>
      </c>
      <c r="P60" s="95">
        <f>P61+P62+P63</f>
        <v>1774088323</v>
      </c>
    </row>
    <row r="61" spans="1:16" s="49" customFormat="1" ht="18" customHeight="1" x14ac:dyDescent="0.2">
      <c r="A61" s="76"/>
      <c r="B61" s="426" t="s">
        <v>72</v>
      </c>
      <c r="C61" s="77" t="s">
        <v>1</v>
      </c>
      <c r="D61" s="78" t="s">
        <v>7</v>
      </c>
      <c r="E61" s="82">
        <f t="shared" ref="E61:H63" si="8">E37+E56</f>
        <v>958503380</v>
      </c>
      <c r="F61" s="82">
        <f>F37+F56</f>
        <v>989773688</v>
      </c>
      <c r="G61" s="82">
        <f>G37+G56</f>
        <v>24534479</v>
      </c>
      <c r="H61" s="82">
        <f>H37+H56</f>
        <v>1014308167</v>
      </c>
      <c r="I61" s="429"/>
      <c r="J61" s="431" t="s">
        <v>71</v>
      </c>
      <c r="K61" s="77" t="s">
        <v>1</v>
      </c>
      <c r="L61" s="78" t="s">
        <v>7</v>
      </c>
      <c r="M61" s="82">
        <f t="shared" ref="M61:N63" si="9">M37+M56</f>
        <v>1539487482</v>
      </c>
      <c r="N61" s="82">
        <f t="shared" si="9"/>
        <v>1742186344</v>
      </c>
      <c r="O61" s="82">
        <f t="shared" ref="O61:P63" si="10">O37+O56</f>
        <v>17953637</v>
      </c>
      <c r="P61" s="90">
        <f>P37+P56</f>
        <v>1760139981</v>
      </c>
    </row>
    <row r="62" spans="1:16" s="49" customFormat="1" ht="18" customHeight="1" x14ac:dyDescent="0.2">
      <c r="A62" s="76"/>
      <c r="B62" s="427"/>
      <c r="C62" s="77" t="s">
        <v>2</v>
      </c>
      <c r="D62" s="78" t="s">
        <v>9</v>
      </c>
      <c r="E62" s="82">
        <f t="shared" si="8"/>
        <v>0</v>
      </c>
      <c r="F62" s="82">
        <f>F38+F57</f>
        <v>0</v>
      </c>
      <c r="G62" s="82">
        <f t="shared" si="8"/>
        <v>0</v>
      </c>
      <c r="H62" s="82">
        <f t="shared" si="8"/>
        <v>0</v>
      </c>
      <c r="I62" s="429"/>
      <c r="J62" s="431"/>
      <c r="K62" s="77" t="s">
        <v>2</v>
      </c>
      <c r="L62" s="78" t="s">
        <v>9</v>
      </c>
      <c r="M62" s="82">
        <f t="shared" si="9"/>
        <v>5267500</v>
      </c>
      <c r="N62" s="82">
        <f t="shared" si="9"/>
        <v>7367500</v>
      </c>
      <c r="O62" s="82">
        <f t="shared" si="10"/>
        <v>6580842</v>
      </c>
      <c r="P62" s="90">
        <f>P38+P57</f>
        <v>13948342</v>
      </c>
    </row>
    <row r="63" spans="1:16" s="49" customFormat="1" ht="18" customHeight="1" x14ac:dyDescent="0.2">
      <c r="A63" s="81"/>
      <c r="B63" s="428"/>
      <c r="C63" s="77" t="s">
        <v>4</v>
      </c>
      <c r="D63" s="78" t="s">
        <v>8</v>
      </c>
      <c r="E63" s="79">
        <f t="shared" si="8"/>
        <v>0</v>
      </c>
      <c r="F63" s="82">
        <f>F39+F58</f>
        <v>0</v>
      </c>
      <c r="G63" s="79">
        <f t="shared" si="8"/>
        <v>0</v>
      </c>
      <c r="H63" s="79">
        <f>H39+H58</f>
        <v>0</v>
      </c>
      <c r="I63" s="430"/>
      <c r="J63" s="431"/>
      <c r="K63" s="77" t="s">
        <v>4</v>
      </c>
      <c r="L63" s="78" t="s">
        <v>8</v>
      </c>
      <c r="M63" s="79">
        <f t="shared" si="9"/>
        <v>0</v>
      </c>
      <c r="N63" s="79">
        <f t="shared" si="9"/>
        <v>0</v>
      </c>
      <c r="O63" s="79">
        <f t="shared" si="10"/>
        <v>0</v>
      </c>
      <c r="P63" s="80">
        <f t="shared" si="10"/>
        <v>0</v>
      </c>
    </row>
    <row r="64" spans="1:16" s="96" customFormat="1" ht="30" customHeight="1" thickBot="1" x14ac:dyDescent="0.25">
      <c r="A64" s="409" t="s">
        <v>59</v>
      </c>
      <c r="B64" s="410"/>
      <c r="C64" s="410"/>
      <c r="D64" s="411"/>
      <c r="E64" s="253">
        <f>+M60-E60</f>
        <v>586251602</v>
      </c>
      <c r="F64" s="253">
        <f>+N60-F60</f>
        <v>759780156</v>
      </c>
      <c r="G64" s="253"/>
      <c r="H64" s="253">
        <f>+P60-H60</f>
        <v>759780156</v>
      </c>
      <c r="I64" s="409" t="s">
        <v>60</v>
      </c>
      <c r="J64" s="410"/>
      <c r="K64" s="410"/>
      <c r="L64" s="411"/>
      <c r="M64" s="207"/>
      <c r="N64" s="207"/>
      <c r="O64" s="207"/>
      <c r="P64" s="254"/>
    </row>
    <row r="65" spans="1:16" s="49" customFormat="1" ht="18" customHeight="1" x14ac:dyDescent="0.2">
      <c r="A65" s="99" t="s">
        <v>33</v>
      </c>
      <c r="B65" s="401" t="s">
        <v>31</v>
      </c>
      <c r="C65" s="402"/>
      <c r="D65" s="403"/>
      <c r="E65" s="100">
        <f>E66+E67</f>
        <v>598695602</v>
      </c>
      <c r="F65" s="100">
        <f>F66+F67</f>
        <v>772224156</v>
      </c>
      <c r="G65" s="100">
        <f>G66+G67</f>
        <v>0</v>
      </c>
      <c r="H65" s="100">
        <f>H66+H67</f>
        <v>772224156</v>
      </c>
      <c r="I65" s="99" t="s">
        <v>33</v>
      </c>
      <c r="J65" s="401" t="s">
        <v>44</v>
      </c>
      <c r="K65" s="402"/>
      <c r="L65" s="403"/>
      <c r="M65" s="100">
        <f>M66+M67</f>
        <v>12444000</v>
      </c>
      <c r="N65" s="100">
        <f>N66+N67</f>
        <v>12444000</v>
      </c>
      <c r="O65" s="100">
        <f>O66+O67</f>
        <v>0</v>
      </c>
      <c r="P65" s="101">
        <f>P66+P67</f>
        <v>12444000</v>
      </c>
    </row>
    <row r="66" spans="1:16" s="49" customFormat="1" ht="18" customHeight="1" x14ac:dyDescent="0.2">
      <c r="A66" s="102"/>
      <c r="B66" s="404" t="s">
        <v>61</v>
      </c>
      <c r="C66" s="59" t="s">
        <v>1</v>
      </c>
      <c r="D66" s="60" t="s">
        <v>73</v>
      </c>
      <c r="E66" s="61">
        <f>'2.'!E66+'3.'!E66</f>
        <v>598695602</v>
      </c>
      <c r="F66" s="61">
        <f>'2.'!F66+'3.'!F66</f>
        <v>772224156</v>
      </c>
      <c r="G66" s="61">
        <f>'2.'!G66+'3.'!G66</f>
        <v>0</v>
      </c>
      <c r="H66" s="62">
        <f>+G66+F66</f>
        <v>772224156</v>
      </c>
      <c r="I66" s="102"/>
      <c r="J66" s="404" t="s">
        <v>56</v>
      </c>
      <c r="K66" s="59" t="s">
        <v>1</v>
      </c>
      <c r="L66" s="60" t="s">
        <v>76</v>
      </c>
      <c r="M66" s="61">
        <v>0</v>
      </c>
      <c r="N66" s="61">
        <v>0</v>
      </c>
      <c r="O66" s="61">
        <v>0</v>
      </c>
      <c r="P66" s="62">
        <f>+O66+M66</f>
        <v>0</v>
      </c>
    </row>
    <row r="67" spans="1:16" s="49" customFormat="1" ht="18" customHeight="1" x14ac:dyDescent="0.2">
      <c r="A67" s="102"/>
      <c r="B67" s="405"/>
      <c r="C67" s="59" t="s">
        <v>2</v>
      </c>
      <c r="D67" s="60" t="s">
        <v>74</v>
      </c>
      <c r="E67" s="61">
        <f>'2.'!E67</f>
        <v>0</v>
      </c>
      <c r="F67" s="61">
        <f>'2.'!F67</f>
        <v>0</v>
      </c>
      <c r="G67" s="61">
        <f>'2.'!G67</f>
        <v>0</v>
      </c>
      <c r="H67" s="62">
        <f>+G67+F67</f>
        <v>0</v>
      </c>
      <c r="I67" s="102"/>
      <c r="J67" s="405"/>
      <c r="K67" s="59" t="s">
        <v>2</v>
      </c>
      <c r="L67" s="60" t="s">
        <v>75</v>
      </c>
      <c r="M67" s="61">
        <f>'2.'!M67</f>
        <v>12444000</v>
      </c>
      <c r="N67" s="61">
        <f>'2.'!N67</f>
        <v>12444000</v>
      </c>
      <c r="O67" s="61">
        <f>'2.'!O67</f>
        <v>0</v>
      </c>
      <c r="P67" s="62">
        <f>N67+O67</f>
        <v>12444000</v>
      </c>
    </row>
    <row r="68" spans="1:16" s="103" customFormat="1" ht="18" customHeight="1" x14ac:dyDescent="0.2">
      <c r="A68" s="255" t="s">
        <v>34</v>
      </c>
      <c r="B68" s="406" t="s">
        <v>24</v>
      </c>
      <c r="C68" s="407"/>
      <c r="D68" s="408"/>
      <c r="E68" s="256">
        <f>E69+E70+E71</f>
        <v>1557198982</v>
      </c>
      <c r="F68" s="256">
        <f>F69+F70+F71</f>
        <v>1761997844</v>
      </c>
      <c r="G68" s="256">
        <f>G69+G70+G71</f>
        <v>24534479</v>
      </c>
      <c r="H68" s="256">
        <f>H69+H70+H71</f>
        <v>1786532323</v>
      </c>
      <c r="I68" s="257" t="s">
        <v>34</v>
      </c>
      <c r="J68" s="406" t="s">
        <v>25</v>
      </c>
      <c r="K68" s="407"/>
      <c r="L68" s="408"/>
      <c r="M68" s="256">
        <f>M69+M70+M71</f>
        <v>1557198982</v>
      </c>
      <c r="N68" s="256">
        <f>N69+N70+N71</f>
        <v>1761997844</v>
      </c>
      <c r="O68" s="256">
        <f>O69+O70+O71</f>
        <v>24534479</v>
      </c>
      <c r="P68" s="258">
        <f>P69+P70+P71</f>
        <v>1786532323</v>
      </c>
    </row>
    <row r="69" spans="1:16" s="103" customFormat="1" ht="18" customHeight="1" x14ac:dyDescent="0.2">
      <c r="A69" s="259"/>
      <c r="B69" s="397" t="s">
        <v>58</v>
      </c>
      <c r="C69" s="260" t="s">
        <v>1</v>
      </c>
      <c r="D69" s="261" t="s">
        <v>7</v>
      </c>
      <c r="E69" s="262">
        <f>E61+E66+E67</f>
        <v>1557198982</v>
      </c>
      <c r="F69" s="262">
        <f>F61+F66+F67</f>
        <v>1761997844</v>
      </c>
      <c r="G69" s="262">
        <f>G61+G66+G67</f>
        <v>24534479</v>
      </c>
      <c r="H69" s="262">
        <f>H61+H66+H67</f>
        <v>1786532323</v>
      </c>
      <c r="I69" s="263"/>
      <c r="J69" s="397" t="s">
        <v>57</v>
      </c>
      <c r="K69" s="260" t="s">
        <v>1</v>
      </c>
      <c r="L69" s="261" t="s">
        <v>7</v>
      </c>
      <c r="M69" s="262">
        <f>M61+M66+M67</f>
        <v>1551931482</v>
      </c>
      <c r="N69" s="262">
        <f>N61+N66+N67</f>
        <v>1754630344</v>
      </c>
      <c r="O69" s="262">
        <f>O61+O66+O67</f>
        <v>17953637</v>
      </c>
      <c r="P69" s="264">
        <f>P61+P66+P67</f>
        <v>1772583981</v>
      </c>
    </row>
    <row r="70" spans="1:16" s="103" customFormat="1" ht="18" customHeight="1" x14ac:dyDescent="0.2">
      <c r="A70" s="259"/>
      <c r="B70" s="398"/>
      <c r="C70" s="260" t="s">
        <v>2</v>
      </c>
      <c r="D70" s="261" t="s">
        <v>9</v>
      </c>
      <c r="E70" s="262">
        <f>'2.'!E70+'3.'!E70</f>
        <v>0</v>
      </c>
      <c r="F70" s="262">
        <f>'2.'!F70+'3.'!F70</f>
        <v>0</v>
      </c>
      <c r="G70" s="262">
        <f>'2.'!G70+'3.'!G70</f>
        <v>0</v>
      </c>
      <c r="H70" s="262">
        <f>H62</f>
        <v>0</v>
      </c>
      <c r="I70" s="263"/>
      <c r="J70" s="398"/>
      <c r="K70" s="260" t="s">
        <v>2</v>
      </c>
      <c r="L70" s="261" t="s">
        <v>9</v>
      </c>
      <c r="M70" s="262">
        <f t="shared" ref="M70:P71" si="11">M62</f>
        <v>5267500</v>
      </c>
      <c r="N70" s="262">
        <f t="shared" si="11"/>
        <v>7367500</v>
      </c>
      <c r="O70" s="262">
        <f t="shared" si="11"/>
        <v>6580842</v>
      </c>
      <c r="P70" s="264">
        <f t="shared" si="11"/>
        <v>13948342</v>
      </c>
    </row>
    <row r="71" spans="1:16" s="103" customFormat="1" ht="18" customHeight="1" thickBot="1" x14ac:dyDescent="0.25">
      <c r="A71" s="265"/>
      <c r="B71" s="399"/>
      <c r="C71" s="266" t="s">
        <v>4</v>
      </c>
      <c r="D71" s="267" t="s">
        <v>8</v>
      </c>
      <c r="E71" s="268">
        <f>'2.'!E71+'3.'!E71</f>
        <v>0</v>
      </c>
      <c r="F71" s="268">
        <f>'2.'!F71+'3.'!F71</f>
        <v>0</v>
      </c>
      <c r="G71" s="268">
        <f>'2.'!G71+'3.'!G71</f>
        <v>0</v>
      </c>
      <c r="H71" s="268">
        <f>H63</f>
        <v>0</v>
      </c>
      <c r="I71" s="269"/>
      <c r="J71" s="399"/>
      <c r="K71" s="266" t="s">
        <v>4</v>
      </c>
      <c r="L71" s="267" t="s">
        <v>8</v>
      </c>
      <c r="M71" s="268">
        <f t="shared" si="11"/>
        <v>0</v>
      </c>
      <c r="N71" s="268">
        <f>N63</f>
        <v>0</v>
      </c>
      <c r="O71" s="268">
        <f t="shared" si="11"/>
        <v>0</v>
      </c>
      <c r="P71" s="270">
        <f t="shared" si="11"/>
        <v>0</v>
      </c>
    </row>
    <row r="73" spans="1:16" x14ac:dyDescent="0.2">
      <c r="O73" s="303"/>
    </row>
    <row r="74" spans="1:16" x14ac:dyDescent="0.2">
      <c r="A74" s="400"/>
      <c r="B74" s="400"/>
      <c r="C74" s="400"/>
      <c r="D74" s="400"/>
      <c r="E74" s="400"/>
      <c r="F74" s="43"/>
      <c r="G74" s="43"/>
      <c r="H74" s="43"/>
    </row>
  </sheetData>
  <sheetProtection formatCells="0"/>
  <mergeCells count="78">
    <mergeCell ref="A7:P7"/>
    <mergeCell ref="A4:P4"/>
    <mergeCell ref="A5:P5"/>
    <mergeCell ref="A6:P6"/>
    <mergeCell ref="A1:P1"/>
    <mergeCell ref="A2:P2"/>
    <mergeCell ref="A8:P8"/>
    <mergeCell ref="D9:L9"/>
    <mergeCell ref="A10:E10"/>
    <mergeCell ref="I10:P10"/>
    <mergeCell ref="C11:D11"/>
    <mergeCell ref="K11:L11"/>
    <mergeCell ref="A12:P12"/>
    <mergeCell ref="B13:D13"/>
    <mergeCell ref="J13:L13"/>
    <mergeCell ref="B14:B17"/>
    <mergeCell ref="C14:D14"/>
    <mergeCell ref="J14:J17"/>
    <mergeCell ref="K14:L14"/>
    <mergeCell ref="B18:B21"/>
    <mergeCell ref="C18:D18"/>
    <mergeCell ref="J18:J21"/>
    <mergeCell ref="K18:L18"/>
    <mergeCell ref="B22:B25"/>
    <mergeCell ref="C22:D22"/>
    <mergeCell ref="J22:J25"/>
    <mergeCell ref="K22:L22"/>
    <mergeCell ref="A40:D40"/>
    <mergeCell ref="I40:L40"/>
    <mergeCell ref="B26:B29"/>
    <mergeCell ref="C26:D26"/>
    <mergeCell ref="J26:J29"/>
    <mergeCell ref="K26:L26"/>
    <mergeCell ref="A30:H35"/>
    <mergeCell ref="J30:J35"/>
    <mergeCell ref="K30:L30"/>
    <mergeCell ref="B36:D36"/>
    <mergeCell ref="J36:L36"/>
    <mergeCell ref="B37:B39"/>
    <mergeCell ref="I37:I39"/>
    <mergeCell ref="J37:J39"/>
    <mergeCell ref="A41:P41"/>
    <mergeCell ref="B42:D42"/>
    <mergeCell ref="J42:L42"/>
    <mergeCell ref="B43:B46"/>
    <mergeCell ref="C43:D43"/>
    <mergeCell ref="J43:J46"/>
    <mergeCell ref="K43:L43"/>
    <mergeCell ref="B47:B50"/>
    <mergeCell ref="C47:D47"/>
    <mergeCell ref="J47:J50"/>
    <mergeCell ref="K47:L47"/>
    <mergeCell ref="B51:B54"/>
    <mergeCell ref="C51:D51"/>
    <mergeCell ref="J51:J54"/>
    <mergeCell ref="K51:L51"/>
    <mergeCell ref="A64:D64"/>
    <mergeCell ref="I64:L64"/>
    <mergeCell ref="B55:D55"/>
    <mergeCell ref="J55:L55"/>
    <mergeCell ref="B56:B58"/>
    <mergeCell ref="J56:J58"/>
    <mergeCell ref="A59:D59"/>
    <mergeCell ref="I59:L59"/>
    <mergeCell ref="B60:D60"/>
    <mergeCell ref="J60:L60"/>
    <mergeCell ref="B61:B63"/>
    <mergeCell ref="I61:I63"/>
    <mergeCell ref="J61:J63"/>
    <mergeCell ref="B69:B71"/>
    <mergeCell ref="J69:J71"/>
    <mergeCell ref="A74:E74"/>
    <mergeCell ref="B65:D65"/>
    <mergeCell ref="J65:L65"/>
    <mergeCell ref="B66:B67"/>
    <mergeCell ref="J66:J67"/>
    <mergeCell ref="B68:D68"/>
    <mergeCell ref="J68:L68"/>
  </mergeCells>
  <printOptions horizontalCentered="1"/>
  <pageMargins left="0.19685039370078741" right="0.19685039370078741" top="3.937007874015748E-2" bottom="0" header="0.43307086614173229" footer="0.51181102362204722"/>
  <pageSetup paperSize="9" scale="61" orientation="landscape" r:id="rId1"/>
  <headerFooter alignWithMargins="0"/>
  <rowBreaks count="1" manualBreakCount="1">
    <brk id="4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A80AB-C481-414A-8769-A98CB1F2E98C}">
  <sheetPr>
    <tabColor rgb="FF92D050"/>
  </sheetPr>
  <dimension ref="A1:T74"/>
  <sheetViews>
    <sheetView topLeftCell="A34" zoomScaleNormal="100" workbookViewId="0">
      <selection activeCell="R45" sqref="R45"/>
    </sheetView>
  </sheetViews>
  <sheetFormatPr defaultColWidth="9.140625" defaultRowHeight="12.75" x14ac:dyDescent="0.2"/>
  <cols>
    <col min="1" max="1" width="5.5703125" style="31" customWidth="1"/>
    <col min="2" max="2" width="4.28515625" style="31" customWidth="1"/>
    <col min="3" max="3" width="3.7109375" style="3" customWidth="1"/>
    <col min="4" max="4" width="45.7109375" style="3" customWidth="1"/>
    <col min="5" max="5" width="14.7109375" style="3" customWidth="1"/>
    <col min="6" max="8" width="14.7109375" style="4" customWidth="1"/>
    <col min="9" max="9" width="6.5703125" style="9" customWidth="1"/>
    <col min="10" max="10" width="4.28515625" style="9" customWidth="1"/>
    <col min="11" max="11" width="3.7109375" style="9" customWidth="1"/>
    <col min="12" max="12" width="45.7109375" style="3" customWidth="1"/>
    <col min="13" max="15" width="14.7109375" style="3" customWidth="1"/>
    <col min="16" max="16" width="14.7109375" style="4" customWidth="1"/>
    <col min="17" max="16384" width="9.140625" style="3"/>
  </cols>
  <sheetData>
    <row r="1" spans="1:20" ht="14.25" x14ac:dyDescent="0.2">
      <c r="E1" s="4"/>
      <c r="H1" s="9"/>
      <c r="K1" s="485" t="s">
        <v>193</v>
      </c>
      <c r="L1" s="485"/>
      <c r="M1" s="485"/>
      <c r="N1" s="485"/>
      <c r="O1" s="485"/>
      <c r="P1" s="485"/>
      <c r="Q1" s="28"/>
      <c r="R1" s="28"/>
      <c r="S1" s="28"/>
      <c r="T1" s="28"/>
    </row>
    <row r="2" spans="1:20" ht="14.25" x14ac:dyDescent="0.2">
      <c r="E2" s="4"/>
      <c r="H2" s="9"/>
      <c r="K2" s="485" t="s">
        <v>194</v>
      </c>
      <c r="L2" s="485"/>
      <c r="M2" s="485"/>
      <c r="N2" s="485"/>
      <c r="O2" s="485"/>
      <c r="P2" s="485"/>
      <c r="Q2" s="28"/>
      <c r="R2" s="28"/>
      <c r="S2" s="28"/>
      <c r="T2" s="28"/>
    </row>
    <row r="3" spans="1:20" ht="14.25" x14ac:dyDescent="0.2">
      <c r="E3" s="4"/>
      <c r="H3" s="9"/>
      <c r="K3" s="30"/>
      <c r="L3" s="30"/>
      <c r="M3" s="30"/>
      <c r="N3" s="30"/>
      <c r="O3" s="28"/>
      <c r="P3" s="28"/>
      <c r="Q3" s="28"/>
      <c r="R3" s="28"/>
      <c r="S3" s="28"/>
      <c r="T3" s="28"/>
    </row>
    <row r="4" spans="1:20" ht="15.95" customHeight="1" x14ac:dyDescent="0.25">
      <c r="A4" s="476" t="s">
        <v>187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</row>
    <row r="5" spans="1:20" ht="15.95" customHeight="1" x14ac:dyDescent="0.25">
      <c r="A5" s="476" t="s">
        <v>23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</row>
    <row r="6" spans="1:20" ht="15.95" customHeight="1" x14ac:dyDescent="0.25">
      <c r="A6" s="476" t="s">
        <v>39</v>
      </c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</row>
    <row r="7" spans="1:20" ht="15.95" customHeight="1" x14ac:dyDescent="0.25">
      <c r="A7" s="476" t="s">
        <v>188</v>
      </c>
      <c r="B7" s="476"/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</row>
    <row r="8" spans="1:20" ht="15.95" customHeight="1" x14ac:dyDescent="0.25">
      <c r="A8" s="476" t="s">
        <v>189</v>
      </c>
      <c r="B8" s="476"/>
      <c r="C8" s="476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476"/>
    </row>
    <row r="9" spans="1:20" ht="15.95" customHeight="1" thickBot="1" x14ac:dyDescent="0.35">
      <c r="D9" s="568"/>
      <c r="E9" s="568"/>
      <c r="F9" s="568"/>
      <c r="G9" s="568"/>
      <c r="H9" s="568"/>
      <c r="I9" s="568"/>
      <c r="J9" s="568"/>
      <c r="K9" s="568"/>
      <c r="L9" s="568"/>
      <c r="M9" s="104"/>
      <c r="N9" s="104"/>
      <c r="O9" s="104"/>
      <c r="P9" s="8" t="s">
        <v>95</v>
      </c>
    </row>
    <row r="10" spans="1:20" s="5" customFormat="1" ht="21.95" customHeight="1" x14ac:dyDescent="0.2">
      <c r="A10" s="569" t="s">
        <v>37</v>
      </c>
      <c r="B10" s="570"/>
      <c r="C10" s="570"/>
      <c r="D10" s="570"/>
      <c r="E10" s="570"/>
      <c r="F10" s="570"/>
      <c r="G10" s="239"/>
      <c r="H10" s="239"/>
      <c r="I10" s="569" t="s">
        <v>38</v>
      </c>
      <c r="J10" s="570"/>
      <c r="K10" s="570"/>
      <c r="L10" s="570"/>
      <c r="M10" s="570"/>
      <c r="N10" s="570"/>
      <c r="O10" s="570"/>
      <c r="P10" s="571"/>
    </row>
    <row r="11" spans="1:20" s="5" customFormat="1" ht="41.25" customHeight="1" thickBot="1" x14ac:dyDescent="0.25">
      <c r="A11" s="240" t="s">
        <v>77</v>
      </c>
      <c r="B11" s="241" t="s">
        <v>78</v>
      </c>
      <c r="C11" s="572"/>
      <c r="D11" s="573"/>
      <c r="E11" s="215" t="s">
        <v>28</v>
      </c>
      <c r="F11" s="242" t="s">
        <v>88</v>
      </c>
      <c r="G11" s="242" t="s">
        <v>87</v>
      </c>
      <c r="H11" s="242" t="s">
        <v>88</v>
      </c>
      <c r="I11" s="240" t="s">
        <v>77</v>
      </c>
      <c r="J11" s="241" t="s">
        <v>78</v>
      </c>
      <c r="K11" s="574"/>
      <c r="L11" s="575"/>
      <c r="M11" s="215" t="s">
        <v>28</v>
      </c>
      <c r="N11" s="242" t="s">
        <v>88</v>
      </c>
      <c r="O11" s="242" t="s">
        <v>87</v>
      </c>
      <c r="P11" s="243" t="s">
        <v>88</v>
      </c>
    </row>
    <row r="12" spans="1:20" s="1" customFormat="1" ht="18" customHeight="1" x14ac:dyDescent="0.2">
      <c r="A12" s="535" t="s">
        <v>36</v>
      </c>
      <c r="B12" s="536"/>
      <c r="C12" s="536"/>
      <c r="D12" s="536"/>
      <c r="E12" s="536"/>
      <c r="F12" s="536"/>
      <c r="G12" s="536"/>
      <c r="H12" s="536"/>
      <c r="I12" s="536"/>
      <c r="J12" s="536"/>
      <c r="K12" s="536"/>
      <c r="L12" s="536"/>
      <c r="M12" s="536"/>
      <c r="N12" s="536"/>
      <c r="O12" s="536"/>
      <c r="P12" s="537"/>
    </row>
    <row r="13" spans="1:20" s="2" customFormat="1" ht="18" customHeight="1" x14ac:dyDescent="0.2">
      <c r="A13" s="10" t="s">
        <v>0</v>
      </c>
      <c r="B13" s="538" t="s">
        <v>35</v>
      </c>
      <c r="C13" s="539"/>
      <c r="D13" s="540"/>
      <c r="E13" s="105">
        <f>E14+E18+E22+E26</f>
        <v>955119380</v>
      </c>
      <c r="F13" s="105">
        <f>F14+F18+F22+F26</f>
        <v>952171028</v>
      </c>
      <c r="G13" s="105">
        <f>G14+G18+G22+G26</f>
        <v>24534479</v>
      </c>
      <c r="H13" s="105">
        <f>H14+H18+H22+H26</f>
        <v>976705507</v>
      </c>
      <c r="I13" s="106" t="s">
        <v>0</v>
      </c>
      <c r="J13" s="565" t="s">
        <v>17</v>
      </c>
      <c r="K13" s="566"/>
      <c r="L13" s="567"/>
      <c r="M13" s="107">
        <f>M14+M18+M22+M26+M30</f>
        <v>948561199</v>
      </c>
      <c r="N13" s="107">
        <f>N14+N18+N22+N30+N26</f>
        <v>1074581366</v>
      </c>
      <c r="O13" s="107">
        <f>O14+O18+O22+O30+O26</f>
        <v>-17019849</v>
      </c>
      <c r="P13" s="108">
        <f>P14+P18+P22+P30+P26</f>
        <v>1057561517</v>
      </c>
    </row>
    <row r="14" spans="1:20" s="1" customFormat="1" ht="18" customHeight="1" x14ac:dyDescent="0.2">
      <c r="A14" s="11"/>
      <c r="B14" s="524" t="s">
        <v>50</v>
      </c>
      <c r="C14" s="544" t="s">
        <v>42</v>
      </c>
      <c r="D14" s="545"/>
      <c r="E14" s="105">
        <f>SUM(E15:E17)</f>
        <v>856618347</v>
      </c>
      <c r="F14" s="105">
        <f>F15+F16+F17</f>
        <v>822718347</v>
      </c>
      <c r="G14" s="105">
        <f>G15+G16+G17</f>
        <v>21000000</v>
      </c>
      <c r="H14" s="105">
        <f>H15+H16+H17</f>
        <v>843718347</v>
      </c>
      <c r="I14" s="109"/>
      <c r="J14" s="529" t="s">
        <v>45</v>
      </c>
      <c r="K14" s="549" t="s">
        <v>13</v>
      </c>
      <c r="L14" s="549"/>
      <c r="M14" s="105">
        <f>SUM(M15:M17)</f>
        <v>157814039</v>
      </c>
      <c r="N14" s="105">
        <f>N15+N16+N17</f>
        <v>196314039</v>
      </c>
      <c r="O14" s="105">
        <f>O15+O16+O17</f>
        <v>116209674</v>
      </c>
      <c r="P14" s="110">
        <f>P15+P16+P17</f>
        <v>312523713</v>
      </c>
    </row>
    <row r="15" spans="1:20" s="1" customFormat="1" ht="18" customHeight="1" x14ac:dyDescent="0.2">
      <c r="A15" s="11"/>
      <c r="B15" s="525"/>
      <c r="C15" s="111" t="s">
        <v>1</v>
      </c>
      <c r="D15" s="112" t="s">
        <v>7</v>
      </c>
      <c r="E15" s="113">
        <v>856618347</v>
      </c>
      <c r="F15" s="113">
        <v>822718347</v>
      </c>
      <c r="G15" s="114">
        <v>21000000</v>
      </c>
      <c r="H15" s="115">
        <f>+G15+F15</f>
        <v>843718347</v>
      </c>
      <c r="I15" s="109"/>
      <c r="J15" s="530"/>
      <c r="K15" s="111" t="s">
        <v>1</v>
      </c>
      <c r="L15" s="112" t="s">
        <v>7</v>
      </c>
      <c r="M15" s="113">
        <v>157714039</v>
      </c>
      <c r="N15" s="113">
        <v>196214039</v>
      </c>
      <c r="O15" s="116">
        <f>750000+200000+10000000+107044+1000000+100000000</f>
        <v>112057044</v>
      </c>
      <c r="P15" s="115">
        <f>+O15+N15</f>
        <v>308271083</v>
      </c>
    </row>
    <row r="16" spans="1:20" s="1" customFormat="1" ht="18" customHeight="1" x14ac:dyDescent="0.2">
      <c r="A16" s="11"/>
      <c r="B16" s="525"/>
      <c r="C16" s="111" t="s">
        <v>2</v>
      </c>
      <c r="D16" s="112" t="s">
        <v>9</v>
      </c>
      <c r="E16" s="113">
        <v>0</v>
      </c>
      <c r="F16" s="113">
        <v>0</v>
      </c>
      <c r="G16" s="114">
        <v>0</v>
      </c>
      <c r="H16" s="115">
        <f>+G16+F16</f>
        <v>0</v>
      </c>
      <c r="I16" s="109"/>
      <c r="J16" s="530"/>
      <c r="K16" s="111" t="s">
        <v>2</v>
      </c>
      <c r="L16" s="112" t="s">
        <v>9</v>
      </c>
      <c r="M16" s="113">
        <v>100000</v>
      </c>
      <c r="N16" s="113">
        <v>100000</v>
      </c>
      <c r="O16" s="116">
        <f>700000+3452630</f>
        <v>4152630</v>
      </c>
      <c r="P16" s="115">
        <f>+O16+N16</f>
        <v>4252630</v>
      </c>
    </row>
    <row r="17" spans="1:18" s="1" customFormat="1" ht="18" customHeight="1" x14ac:dyDescent="0.2">
      <c r="A17" s="11"/>
      <c r="B17" s="526"/>
      <c r="C17" s="111" t="s">
        <v>4</v>
      </c>
      <c r="D17" s="112" t="s">
        <v>8</v>
      </c>
      <c r="E17" s="113">
        <v>0</v>
      </c>
      <c r="F17" s="113">
        <v>0</v>
      </c>
      <c r="G17" s="114">
        <v>0</v>
      </c>
      <c r="H17" s="115">
        <f>+G17+F17</f>
        <v>0</v>
      </c>
      <c r="I17" s="109"/>
      <c r="J17" s="531"/>
      <c r="K17" s="111" t="s">
        <v>4</v>
      </c>
      <c r="L17" s="112" t="s">
        <v>8</v>
      </c>
      <c r="M17" s="113">
        <v>0</v>
      </c>
      <c r="N17" s="113">
        <v>0</v>
      </c>
      <c r="O17" s="116">
        <v>0</v>
      </c>
      <c r="P17" s="115">
        <f>+O17+N17</f>
        <v>0</v>
      </c>
    </row>
    <row r="18" spans="1:18" s="1" customFormat="1" ht="18" customHeight="1" x14ac:dyDescent="0.2">
      <c r="A18" s="11"/>
      <c r="B18" s="524" t="s">
        <v>63</v>
      </c>
      <c r="C18" s="527" t="s">
        <v>5</v>
      </c>
      <c r="D18" s="528"/>
      <c r="E18" s="105">
        <v>0</v>
      </c>
      <c r="F18" s="105">
        <f>F19+F20+F21</f>
        <v>0</v>
      </c>
      <c r="G18" s="105">
        <f>G19+G20+G21</f>
        <v>0</v>
      </c>
      <c r="H18" s="105">
        <f>H19+H20+H21</f>
        <v>0</v>
      </c>
      <c r="I18" s="109"/>
      <c r="J18" s="529" t="s">
        <v>46</v>
      </c>
      <c r="K18" s="534" t="s">
        <v>16</v>
      </c>
      <c r="L18" s="534"/>
      <c r="M18" s="105">
        <f>SUM(M19:M21)</f>
        <v>19742358</v>
      </c>
      <c r="N18" s="105">
        <f>N19+N20+N21</f>
        <v>20219206</v>
      </c>
      <c r="O18" s="105">
        <f>O19+O20+O21</f>
        <v>1496232</v>
      </c>
      <c r="P18" s="110">
        <f>P19+P20+P21</f>
        <v>21715438</v>
      </c>
    </row>
    <row r="19" spans="1:18" s="1" customFormat="1" ht="18" customHeight="1" x14ac:dyDescent="0.2">
      <c r="A19" s="11"/>
      <c r="B19" s="525"/>
      <c r="C19" s="111" t="s">
        <v>1</v>
      </c>
      <c r="D19" s="112" t="s">
        <v>7</v>
      </c>
      <c r="E19" s="113">
        <v>0</v>
      </c>
      <c r="F19" s="113">
        <v>0</v>
      </c>
      <c r="G19" s="114">
        <v>0</v>
      </c>
      <c r="H19" s="115">
        <f>+G19+F19</f>
        <v>0</v>
      </c>
      <c r="I19" s="109"/>
      <c r="J19" s="530"/>
      <c r="K19" s="111" t="s">
        <v>1</v>
      </c>
      <c r="L19" s="112" t="s">
        <v>7</v>
      </c>
      <c r="M19" s="113">
        <v>19729358</v>
      </c>
      <c r="N19" s="113">
        <v>20206206</v>
      </c>
      <c r="O19" s="116">
        <f>210000+26000-28610</f>
        <v>207390</v>
      </c>
      <c r="P19" s="115">
        <f>+O19+N19</f>
        <v>20413596</v>
      </c>
    </row>
    <row r="20" spans="1:18" s="1" customFormat="1" ht="18" customHeight="1" x14ac:dyDescent="0.2">
      <c r="A20" s="11"/>
      <c r="B20" s="525"/>
      <c r="C20" s="111" t="s">
        <v>2</v>
      </c>
      <c r="D20" s="112" t="s">
        <v>9</v>
      </c>
      <c r="E20" s="113">
        <v>0</v>
      </c>
      <c r="F20" s="113">
        <v>0</v>
      </c>
      <c r="G20" s="114">
        <v>0</v>
      </c>
      <c r="H20" s="115">
        <f>+G20+F20</f>
        <v>0</v>
      </c>
      <c r="I20" s="109"/>
      <c r="J20" s="530"/>
      <c r="K20" s="111" t="s">
        <v>2</v>
      </c>
      <c r="L20" s="112" t="s">
        <v>9</v>
      </c>
      <c r="M20" s="113">
        <v>13000</v>
      </c>
      <c r="N20" s="113">
        <v>13000</v>
      </c>
      <c r="O20" s="116">
        <f>91000+1197842</f>
        <v>1288842</v>
      </c>
      <c r="P20" s="115">
        <f>+O20+N20</f>
        <v>1301842</v>
      </c>
    </row>
    <row r="21" spans="1:18" s="1" customFormat="1" ht="18" customHeight="1" x14ac:dyDescent="0.2">
      <c r="A21" s="11"/>
      <c r="B21" s="526"/>
      <c r="C21" s="111" t="s">
        <v>4</v>
      </c>
      <c r="D21" s="112" t="s">
        <v>8</v>
      </c>
      <c r="E21" s="113">
        <v>0</v>
      </c>
      <c r="F21" s="113">
        <v>0</v>
      </c>
      <c r="G21" s="114">
        <v>0</v>
      </c>
      <c r="H21" s="115">
        <f>+G21+F21</f>
        <v>0</v>
      </c>
      <c r="I21" s="109"/>
      <c r="J21" s="531"/>
      <c r="K21" s="111" t="s">
        <v>4</v>
      </c>
      <c r="L21" s="112" t="s">
        <v>8</v>
      </c>
      <c r="M21" s="113">
        <v>0</v>
      </c>
      <c r="N21" s="113">
        <v>0</v>
      </c>
      <c r="O21" s="116">
        <v>0</v>
      </c>
      <c r="P21" s="115">
        <f>+O21+N21</f>
        <v>0</v>
      </c>
    </row>
    <row r="22" spans="1:18" s="1" customFormat="1" ht="18" customHeight="1" x14ac:dyDescent="0.2">
      <c r="A22" s="11"/>
      <c r="B22" s="524" t="s">
        <v>64</v>
      </c>
      <c r="C22" s="527" t="s">
        <v>27</v>
      </c>
      <c r="D22" s="528"/>
      <c r="E22" s="105">
        <f>SUM(E23:E25)</f>
        <v>0</v>
      </c>
      <c r="F22" s="105">
        <f>F23+F24+F25</f>
        <v>0</v>
      </c>
      <c r="G22" s="105">
        <f>G23+G24+G25</f>
        <v>529600</v>
      </c>
      <c r="H22" s="105">
        <f>H23+H24+H25</f>
        <v>529600</v>
      </c>
      <c r="I22" s="109"/>
      <c r="J22" s="529" t="s">
        <v>47</v>
      </c>
      <c r="K22" s="534" t="s">
        <v>26</v>
      </c>
      <c r="L22" s="534"/>
      <c r="M22" s="105">
        <f>SUM(M23:M25)</f>
        <v>654024866</v>
      </c>
      <c r="N22" s="105">
        <f>N23+N24+N25</f>
        <v>616410366</v>
      </c>
      <c r="O22" s="105">
        <f>O23+O24+O25</f>
        <v>-131323440</v>
      </c>
      <c r="P22" s="110">
        <f>P23+P24+P25</f>
        <v>485086926</v>
      </c>
    </row>
    <row r="23" spans="1:18" s="1" customFormat="1" ht="18" customHeight="1" x14ac:dyDescent="0.2">
      <c r="A23" s="11"/>
      <c r="B23" s="525"/>
      <c r="C23" s="111" t="s">
        <v>1</v>
      </c>
      <c r="D23" s="112" t="s">
        <v>7</v>
      </c>
      <c r="E23" s="113">
        <v>0</v>
      </c>
      <c r="F23" s="113">
        <v>0</v>
      </c>
      <c r="G23" s="114">
        <v>529600</v>
      </c>
      <c r="H23" s="115">
        <f>+G23+F23</f>
        <v>529600</v>
      </c>
      <c r="I23" s="109"/>
      <c r="J23" s="530"/>
      <c r="K23" s="111" t="s">
        <v>1</v>
      </c>
      <c r="L23" s="112" t="s">
        <v>7</v>
      </c>
      <c r="M23" s="113">
        <v>652870366</v>
      </c>
      <c r="N23" s="113">
        <v>615255866</v>
      </c>
      <c r="O23" s="116">
        <f>-960000-1385488-273488-16061-226000-10000000-78434+855501-1000000-106539068-3923689-8706083</f>
        <v>-132252810</v>
      </c>
      <c r="P23" s="115">
        <f>+O23+N23</f>
        <v>483003056</v>
      </c>
    </row>
    <row r="24" spans="1:18" s="1" customFormat="1" ht="18" customHeight="1" x14ac:dyDescent="0.2">
      <c r="A24" s="11"/>
      <c r="B24" s="525"/>
      <c r="C24" s="111" t="s">
        <v>2</v>
      </c>
      <c r="D24" s="112" t="s">
        <v>9</v>
      </c>
      <c r="E24" s="113">
        <v>0</v>
      </c>
      <c r="F24" s="113">
        <v>0</v>
      </c>
      <c r="G24" s="114">
        <v>0</v>
      </c>
      <c r="H24" s="115">
        <f>+G24+F24</f>
        <v>0</v>
      </c>
      <c r="I24" s="109"/>
      <c r="J24" s="530"/>
      <c r="K24" s="111" t="s">
        <v>2</v>
      </c>
      <c r="L24" s="112" t="s">
        <v>9</v>
      </c>
      <c r="M24" s="113">
        <v>1154500</v>
      </c>
      <c r="N24" s="113">
        <v>1154500</v>
      </c>
      <c r="O24" s="116">
        <v>929370</v>
      </c>
      <c r="P24" s="115">
        <f t="shared" ref="P24:P35" si="0">+O24+N24</f>
        <v>2083870</v>
      </c>
    </row>
    <row r="25" spans="1:18" s="1" customFormat="1" ht="18" customHeight="1" x14ac:dyDescent="0.2">
      <c r="A25" s="11"/>
      <c r="B25" s="526"/>
      <c r="C25" s="111" t="s">
        <v>4</v>
      </c>
      <c r="D25" s="112" t="s">
        <v>8</v>
      </c>
      <c r="E25" s="113">
        <v>0</v>
      </c>
      <c r="F25" s="113">
        <v>0</v>
      </c>
      <c r="G25" s="114">
        <v>0</v>
      </c>
      <c r="H25" s="115">
        <f>+G25+F25</f>
        <v>0</v>
      </c>
      <c r="I25" s="109"/>
      <c r="J25" s="531"/>
      <c r="K25" s="111" t="s">
        <v>4</v>
      </c>
      <c r="L25" s="112" t="s">
        <v>8</v>
      </c>
      <c r="M25" s="113">
        <v>0</v>
      </c>
      <c r="N25" s="113">
        <v>0</v>
      </c>
      <c r="O25" s="116">
        <v>0</v>
      </c>
      <c r="P25" s="115">
        <f t="shared" si="0"/>
        <v>0</v>
      </c>
    </row>
    <row r="26" spans="1:18" s="1" customFormat="1" ht="18" customHeight="1" x14ac:dyDescent="0.2">
      <c r="A26" s="11"/>
      <c r="B26" s="524" t="s">
        <v>66</v>
      </c>
      <c r="C26" s="532" t="s">
        <v>41</v>
      </c>
      <c r="D26" s="533"/>
      <c r="E26" s="105">
        <f>SUM(E27:E29)</f>
        <v>98501033</v>
      </c>
      <c r="F26" s="105">
        <f>F27+F28+F29</f>
        <v>129452681</v>
      </c>
      <c r="G26" s="105">
        <f>G27+G28+G29</f>
        <v>3004879</v>
      </c>
      <c r="H26" s="105">
        <f>H27+H28+H29</f>
        <v>132457560</v>
      </c>
      <c r="I26" s="109"/>
      <c r="J26" s="529" t="s">
        <v>48</v>
      </c>
      <c r="K26" s="549" t="s">
        <v>6</v>
      </c>
      <c r="L26" s="549"/>
      <c r="M26" s="105">
        <v>0</v>
      </c>
      <c r="N26" s="105">
        <f>N27+N28+N29</f>
        <v>0</v>
      </c>
      <c r="O26" s="105">
        <f>O27+O28+O29</f>
        <v>0</v>
      </c>
      <c r="P26" s="110">
        <f>P27+P28+P29</f>
        <v>0</v>
      </c>
    </row>
    <row r="27" spans="1:18" s="1" customFormat="1" ht="18" customHeight="1" x14ac:dyDescent="0.2">
      <c r="A27" s="11"/>
      <c r="B27" s="525"/>
      <c r="C27" s="111" t="s">
        <v>1</v>
      </c>
      <c r="D27" s="112" t="s">
        <v>7</v>
      </c>
      <c r="E27" s="113">
        <v>98501033</v>
      </c>
      <c r="F27" s="113">
        <v>129452681</v>
      </c>
      <c r="G27" s="376">
        <f>2678978+325901</f>
        <v>3004879</v>
      </c>
      <c r="H27" s="115">
        <f>+G27+F27</f>
        <v>132457560</v>
      </c>
      <c r="I27" s="109"/>
      <c r="J27" s="530"/>
      <c r="K27" s="111" t="s">
        <v>1</v>
      </c>
      <c r="L27" s="112" t="s">
        <v>7</v>
      </c>
      <c r="M27" s="113">
        <v>0</v>
      </c>
      <c r="N27" s="113">
        <v>0</v>
      </c>
      <c r="O27" s="116">
        <v>0</v>
      </c>
      <c r="P27" s="115">
        <f t="shared" si="0"/>
        <v>0</v>
      </c>
    </row>
    <row r="28" spans="1:18" s="1" customFormat="1" ht="18" customHeight="1" x14ac:dyDescent="0.2">
      <c r="A28" s="11"/>
      <c r="B28" s="525"/>
      <c r="C28" s="111" t="s">
        <v>2</v>
      </c>
      <c r="D28" s="112" t="s">
        <v>9</v>
      </c>
      <c r="E28" s="113">
        <v>0</v>
      </c>
      <c r="F28" s="113">
        <v>0</v>
      </c>
      <c r="G28" s="114">
        <v>0</v>
      </c>
      <c r="H28" s="115">
        <f>+G28+F28</f>
        <v>0</v>
      </c>
      <c r="I28" s="109"/>
      <c r="J28" s="530"/>
      <c r="K28" s="111" t="s">
        <v>2</v>
      </c>
      <c r="L28" s="112" t="s">
        <v>9</v>
      </c>
      <c r="M28" s="113">
        <v>0</v>
      </c>
      <c r="N28" s="113">
        <v>0</v>
      </c>
      <c r="O28" s="116">
        <v>0</v>
      </c>
      <c r="P28" s="115">
        <f t="shared" si="0"/>
        <v>0</v>
      </c>
    </row>
    <row r="29" spans="1:18" s="1" customFormat="1" ht="18" customHeight="1" x14ac:dyDescent="0.2">
      <c r="A29" s="12"/>
      <c r="B29" s="526"/>
      <c r="C29" s="111" t="s">
        <v>4</v>
      </c>
      <c r="D29" s="112" t="s">
        <v>8</v>
      </c>
      <c r="E29" s="113">
        <v>0</v>
      </c>
      <c r="F29" s="113">
        <v>0</v>
      </c>
      <c r="G29" s="114">
        <v>0</v>
      </c>
      <c r="H29" s="115">
        <f>+G29+F29</f>
        <v>0</v>
      </c>
      <c r="I29" s="109"/>
      <c r="J29" s="531"/>
      <c r="K29" s="111" t="s">
        <v>4</v>
      </c>
      <c r="L29" s="112" t="s">
        <v>8</v>
      </c>
      <c r="M29" s="113">
        <v>0</v>
      </c>
      <c r="N29" s="113">
        <v>0</v>
      </c>
      <c r="O29" s="116">
        <v>0</v>
      </c>
      <c r="P29" s="115">
        <f t="shared" si="0"/>
        <v>0</v>
      </c>
    </row>
    <row r="30" spans="1:18" s="1" customFormat="1" ht="18" customHeight="1" x14ac:dyDescent="0.2">
      <c r="A30" s="550"/>
      <c r="B30" s="551"/>
      <c r="C30" s="551"/>
      <c r="D30" s="551"/>
      <c r="E30" s="551"/>
      <c r="F30" s="551"/>
      <c r="G30" s="551"/>
      <c r="H30" s="552"/>
      <c r="I30" s="109"/>
      <c r="J30" s="529" t="s">
        <v>49</v>
      </c>
      <c r="K30" s="534" t="s">
        <v>10</v>
      </c>
      <c r="L30" s="534"/>
      <c r="M30" s="105">
        <f>M31+M34+M35</f>
        <v>116979936</v>
      </c>
      <c r="N30" s="105">
        <f>N31+N34+N35</f>
        <v>241637755</v>
      </c>
      <c r="O30" s="105">
        <f>O31+O34+O35</f>
        <v>-3402315</v>
      </c>
      <c r="P30" s="110">
        <f>P31+P34+P35</f>
        <v>238235440</v>
      </c>
    </row>
    <row r="31" spans="1:18" s="1" customFormat="1" ht="18" customHeight="1" x14ac:dyDescent="0.2">
      <c r="A31" s="553"/>
      <c r="B31" s="554"/>
      <c r="C31" s="554"/>
      <c r="D31" s="554"/>
      <c r="E31" s="554"/>
      <c r="F31" s="554"/>
      <c r="G31" s="554"/>
      <c r="H31" s="555"/>
      <c r="I31" s="109"/>
      <c r="J31" s="530"/>
      <c r="K31" s="111" t="s">
        <v>1</v>
      </c>
      <c r="L31" s="112" t="s">
        <v>7</v>
      </c>
      <c r="M31" s="113">
        <v>112979936</v>
      </c>
      <c r="N31" s="113">
        <v>235537755</v>
      </c>
      <c r="O31" s="41">
        <f>O32+O33+16061+273488+75200+19099</f>
        <v>-3612315</v>
      </c>
      <c r="P31" s="115">
        <f t="shared" si="0"/>
        <v>231925440</v>
      </c>
      <c r="Q31" s="27"/>
      <c r="R31" s="27"/>
    </row>
    <row r="32" spans="1:18" s="1" customFormat="1" ht="18" customHeight="1" x14ac:dyDescent="0.2">
      <c r="A32" s="553"/>
      <c r="B32" s="554"/>
      <c r="C32" s="554"/>
      <c r="D32" s="554"/>
      <c r="E32" s="554"/>
      <c r="F32" s="554"/>
      <c r="G32" s="554"/>
      <c r="H32" s="555"/>
      <c r="I32" s="109"/>
      <c r="J32" s="530"/>
      <c r="K32" s="117" t="s">
        <v>79</v>
      </c>
      <c r="L32" s="118" t="s">
        <v>81</v>
      </c>
      <c r="M32" s="119">
        <v>2000000</v>
      </c>
      <c r="N32" s="119">
        <v>51879945</v>
      </c>
      <c r="O32" s="42">
        <f>-1001000-5579842+2678978-75200-19099</f>
        <v>-3996163</v>
      </c>
      <c r="P32" s="120">
        <f t="shared" si="0"/>
        <v>47883782</v>
      </c>
      <c r="Q32" s="27"/>
      <c r="R32" s="27"/>
    </row>
    <row r="33" spans="1:16" s="1" customFormat="1" ht="18" customHeight="1" x14ac:dyDescent="0.2">
      <c r="A33" s="553"/>
      <c r="B33" s="554"/>
      <c r="C33" s="554"/>
      <c r="D33" s="554"/>
      <c r="E33" s="554"/>
      <c r="F33" s="554"/>
      <c r="G33" s="554"/>
      <c r="H33" s="555"/>
      <c r="I33" s="109"/>
      <c r="J33" s="530"/>
      <c r="K33" s="117" t="s">
        <v>80</v>
      </c>
      <c r="L33" s="118" t="s">
        <v>82</v>
      </c>
      <c r="M33" s="119">
        <v>30000000</v>
      </c>
      <c r="N33" s="119">
        <v>102500000</v>
      </c>
      <c r="O33" s="42">
        <v>0</v>
      </c>
      <c r="P33" s="120">
        <f t="shared" si="0"/>
        <v>102500000</v>
      </c>
    </row>
    <row r="34" spans="1:16" s="1" customFormat="1" ht="18" customHeight="1" x14ac:dyDescent="0.2">
      <c r="A34" s="553"/>
      <c r="B34" s="554"/>
      <c r="C34" s="554"/>
      <c r="D34" s="554"/>
      <c r="E34" s="554"/>
      <c r="F34" s="554"/>
      <c r="G34" s="554"/>
      <c r="H34" s="555"/>
      <c r="I34" s="109"/>
      <c r="J34" s="530"/>
      <c r="K34" s="111" t="s">
        <v>2</v>
      </c>
      <c r="L34" s="112" t="s">
        <v>9</v>
      </c>
      <c r="M34" s="113">
        <v>4000000</v>
      </c>
      <c r="N34" s="113">
        <v>6100000</v>
      </c>
      <c r="O34" s="116">
        <v>210000</v>
      </c>
      <c r="P34" s="115">
        <f t="shared" si="0"/>
        <v>6310000</v>
      </c>
    </row>
    <row r="35" spans="1:16" s="1" customFormat="1" ht="18" customHeight="1" x14ac:dyDescent="0.2">
      <c r="A35" s="556"/>
      <c r="B35" s="557"/>
      <c r="C35" s="557"/>
      <c r="D35" s="557"/>
      <c r="E35" s="557"/>
      <c r="F35" s="557"/>
      <c r="G35" s="557"/>
      <c r="H35" s="558"/>
      <c r="I35" s="121"/>
      <c r="J35" s="531"/>
      <c r="K35" s="111" t="s">
        <v>4</v>
      </c>
      <c r="L35" s="112" t="s">
        <v>8</v>
      </c>
      <c r="M35" s="113">
        <v>0</v>
      </c>
      <c r="N35" s="113">
        <v>0</v>
      </c>
      <c r="O35" s="116">
        <v>0</v>
      </c>
      <c r="P35" s="115">
        <f t="shared" si="0"/>
        <v>0</v>
      </c>
    </row>
    <row r="36" spans="1:16" s="1" customFormat="1" ht="18" customHeight="1" x14ac:dyDescent="0.2">
      <c r="A36" s="23" t="s">
        <v>0</v>
      </c>
      <c r="B36" s="513" t="s">
        <v>19</v>
      </c>
      <c r="C36" s="514"/>
      <c r="D36" s="515"/>
      <c r="E36" s="122">
        <f>+E37+E38+E39</f>
        <v>955119380</v>
      </c>
      <c r="F36" s="122">
        <f>+F37+F38+F39</f>
        <v>952171028</v>
      </c>
      <c r="G36" s="122">
        <f>+G37+G38+G39</f>
        <v>24534479</v>
      </c>
      <c r="H36" s="122">
        <f>+H37+H38+H39</f>
        <v>976705507</v>
      </c>
      <c r="I36" s="24" t="s">
        <v>0</v>
      </c>
      <c r="J36" s="559" t="s">
        <v>14</v>
      </c>
      <c r="K36" s="560"/>
      <c r="L36" s="560"/>
      <c r="M36" s="32">
        <f>SUM(M37:M39)</f>
        <v>948561199</v>
      </c>
      <c r="N36" s="32">
        <f>+N37+N38+N39</f>
        <v>1074581366</v>
      </c>
      <c r="O36" s="32">
        <f>+O37+O38+O39</f>
        <v>-17019849</v>
      </c>
      <c r="P36" s="33">
        <f>+P37+P38+P39</f>
        <v>1057561517</v>
      </c>
    </row>
    <row r="37" spans="1:16" s="1" customFormat="1" ht="18" customHeight="1" x14ac:dyDescent="0.2">
      <c r="A37" s="15"/>
      <c r="B37" s="561" t="s">
        <v>69</v>
      </c>
      <c r="C37" s="16" t="s">
        <v>1</v>
      </c>
      <c r="D37" s="17" t="s">
        <v>7</v>
      </c>
      <c r="E37" s="123">
        <f>E15+E19+E23+E27</f>
        <v>955119380</v>
      </c>
      <c r="F37" s="124">
        <f t="shared" ref="F37:H39" si="1">+F27+F23+F19+F15</f>
        <v>952171028</v>
      </c>
      <c r="G37" s="124">
        <f t="shared" si="1"/>
        <v>24534479</v>
      </c>
      <c r="H37" s="124">
        <f t="shared" si="1"/>
        <v>976705507</v>
      </c>
      <c r="I37" s="521"/>
      <c r="J37" s="564" t="s">
        <v>68</v>
      </c>
      <c r="K37" s="16" t="s">
        <v>1</v>
      </c>
      <c r="L37" s="17" t="s">
        <v>7</v>
      </c>
      <c r="M37" s="34">
        <f>M15+M19+M23+M27+M31</f>
        <v>943293699</v>
      </c>
      <c r="N37" s="34">
        <f>+N31+N27+N23+N19+N15</f>
        <v>1067213866</v>
      </c>
      <c r="O37" s="34">
        <f>+O31+O27+O23+O19+O15</f>
        <v>-23600691</v>
      </c>
      <c r="P37" s="35">
        <f>+P31+P27+P23+P19+P15</f>
        <v>1043613175</v>
      </c>
    </row>
    <row r="38" spans="1:16" s="1" customFormat="1" ht="18" customHeight="1" x14ac:dyDescent="0.2">
      <c r="A38" s="15"/>
      <c r="B38" s="562"/>
      <c r="C38" s="16" t="s">
        <v>2</v>
      </c>
      <c r="D38" s="17" t="s">
        <v>9</v>
      </c>
      <c r="E38" s="125">
        <v>0</v>
      </c>
      <c r="F38" s="124">
        <f t="shared" si="1"/>
        <v>0</v>
      </c>
      <c r="G38" s="124">
        <f t="shared" si="1"/>
        <v>0</v>
      </c>
      <c r="H38" s="124">
        <f t="shared" si="1"/>
        <v>0</v>
      </c>
      <c r="I38" s="521"/>
      <c r="J38" s="564"/>
      <c r="K38" s="16" t="s">
        <v>2</v>
      </c>
      <c r="L38" s="17" t="s">
        <v>9</v>
      </c>
      <c r="M38" s="34">
        <f>M16+M20+M24+M28+M34</f>
        <v>5267500</v>
      </c>
      <c r="N38" s="34">
        <f t="shared" ref="N38:P39" si="2">+N34+N28+N24+N20+N16</f>
        <v>7367500</v>
      </c>
      <c r="O38" s="34">
        <f t="shared" si="2"/>
        <v>6580842</v>
      </c>
      <c r="P38" s="35">
        <f t="shared" si="2"/>
        <v>13948342</v>
      </c>
    </row>
    <row r="39" spans="1:16" s="1" customFormat="1" ht="18" customHeight="1" x14ac:dyDescent="0.2">
      <c r="A39" s="18"/>
      <c r="B39" s="563"/>
      <c r="C39" s="16" t="s">
        <v>4</v>
      </c>
      <c r="D39" s="17" t="s">
        <v>8</v>
      </c>
      <c r="E39" s="125">
        <v>0</v>
      </c>
      <c r="F39" s="124">
        <f t="shared" si="1"/>
        <v>0</v>
      </c>
      <c r="G39" s="124">
        <f t="shared" si="1"/>
        <v>0</v>
      </c>
      <c r="H39" s="124">
        <f t="shared" si="1"/>
        <v>0</v>
      </c>
      <c r="I39" s="522"/>
      <c r="J39" s="564"/>
      <c r="K39" s="16" t="s">
        <v>4</v>
      </c>
      <c r="L39" s="17" t="s">
        <v>8</v>
      </c>
      <c r="M39" s="36">
        <v>0</v>
      </c>
      <c r="N39" s="36">
        <f t="shared" si="2"/>
        <v>0</v>
      </c>
      <c r="O39" s="36">
        <f t="shared" si="2"/>
        <v>0</v>
      </c>
      <c r="P39" s="37">
        <f t="shared" si="2"/>
        <v>0</v>
      </c>
    </row>
    <row r="40" spans="1:16" s="26" customFormat="1" ht="30.75" customHeight="1" thickBot="1" x14ac:dyDescent="0.25">
      <c r="A40" s="546" t="s">
        <v>83</v>
      </c>
      <c r="B40" s="547"/>
      <c r="C40" s="547"/>
      <c r="D40" s="548"/>
      <c r="E40" s="287">
        <v>0</v>
      </c>
      <c r="F40" s="288">
        <f>N36-F36</f>
        <v>122410338</v>
      </c>
      <c r="G40" s="288"/>
      <c r="H40" s="289">
        <f>P36-H36</f>
        <v>80856010</v>
      </c>
      <c r="I40" s="546" t="s">
        <v>84</v>
      </c>
      <c r="J40" s="547"/>
      <c r="K40" s="547"/>
      <c r="L40" s="548"/>
      <c r="M40" s="290">
        <f>E36-M36</f>
        <v>6558181</v>
      </c>
      <c r="N40" s="290"/>
      <c r="O40" s="290">
        <f>G36-O36</f>
        <v>41554328</v>
      </c>
      <c r="P40" s="291"/>
    </row>
    <row r="41" spans="1:16" s="1" customFormat="1" ht="18" customHeight="1" x14ac:dyDescent="0.2">
      <c r="A41" s="535" t="s">
        <v>40</v>
      </c>
      <c r="B41" s="536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536"/>
      <c r="N41" s="536"/>
      <c r="O41" s="536"/>
      <c r="P41" s="537"/>
    </row>
    <row r="42" spans="1:16" s="1" customFormat="1" ht="18" customHeight="1" x14ac:dyDescent="0.2">
      <c r="A42" s="10" t="s">
        <v>3</v>
      </c>
      <c r="B42" s="538" t="s">
        <v>20</v>
      </c>
      <c r="C42" s="539"/>
      <c r="D42" s="540"/>
      <c r="E42" s="105">
        <f>E43+E47+E51</f>
        <v>2664000</v>
      </c>
      <c r="F42" s="105">
        <f>F43+F47+F51</f>
        <v>2664000</v>
      </c>
      <c r="G42" s="105">
        <f>G43+G47+G51</f>
        <v>0</v>
      </c>
      <c r="H42" s="105">
        <f>H43+H47+H51</f>
        <v>2664000</v>
      </c>
      <c r="I42" s="126" t="s">
        <v>3</v>
      </c>
      <c r="J42" s="541" t="s">
        <v>18</v>
      </c>
      <c r="K42" s="542"/>
      <c r="L42" s="543"/>
      <c r="M42" s="107">
        <f>M43+M47+M51</f>
        <v>206900276</v>
      </c>
      <c r="N42" s="107">
        <f>N43+N47+N51</f>
        <v>240591026</v>
      </c>
      <c r="O42" s="127">
        <f>O43+O47+O51</f>
        <v>0</v>
      </c>
      <c r="P42" s="108">
        <f>P43+P47+P51</f>
        <v>240591026</v>
      </c>
    </row>
    <row r="43" spans="1:16" s="1" customFormat="1" ht="18" customHeight="1" x14ac:dyDescent="0.2">
      <c r="A43" s="11"/>
      <c r="B43" s="524" t="s">
        <v>62</v>
      </c>
      <c r="C43" s="544" t="s">
        <v>93</v>
      </c>
      <c r="D43" s="545"/>
      <c r="E43" s="105">
        <f>SUM(E44:E46)</f>
        <v>0</v>
      </c>
      <c r="F43" s="105">
        <f>F44+F45+F46</f>
        <v>0</v>
      </c>
      <c r="G43" s="105">
        <f>G44+G45+G46</f>
        <v>0</v>
      </c>
      <c r="H43" s="105">
        <f>H44+H45+H46</f>
        <v>0</v>
      </c>
      <c r="I43" s="109"/>
      <c r="J43" s="529" t="s">
        <v>51</v>
      </c>
      <c r="K43" s="532" t="s">
        <v>11</v>
      </c>
      <c r="L43" s="533"/>
      <c r="M43" s="105">
        <f>SUM(M44:M46)</f>
        <v>206900276</v>
      </c>
      <c r="N43" s="105">
        <f>N44+N45+N46</f>
        <v>238400276</v>
      </c>
      <c r="O43" s="128">
        <f>O44+O45+O46</f>
        <v>0</v>
      </c>
      <c r="P43" s="110">
        <f>P44+P45+P46</f>
        <v>238400276</v>
      </c>
    </row>
    <row r="44" spans="1:16" s="1" customFormat="1" ht="18" customHeight="1" x14ac:dyDescent="0.2">
      <c r="A44" s="11"/>
      <c r="B44" s="525"/>
      <c r="C44" s="111" t="s">
        <v>1</v>
      </c>
      <c r="D44" s="112" t="s">
        <v>7</v>
      </c>
      <c r="E44" s="113">
        <v>0</v>
      </c>
      <c r="F44" s="113">
        <v>0</v>
      </c>
      <c r="G44" s="114">
        <v>0</v>
      </c>
      <c r="H44" s="115">
        <f>+G44+F44</f>
        <v>0</v>
      </c>
      <c r="I44" s="109"/>
      <c r="J44" s="530"/>
      <c r="K44" s="111" t="s">
        <v>1</v>
      </c>
      <c r="L44" s="112" t="s">
        <v>7</v>
      </c>
      <c r="M44" s="113">
        <v>206900276</v>
      </c>
      <c r="N44" s="113">
        <v>238400276</v>
      </c>
      <c r="O44" s="116">
        <v>0</v>
      </c>
      <c r="P44" s="115">
        <f>+O44+N44</f>
        <v>238400276</v>
      </c>
    </row>
    <row r="45" spans="1:16" s="1" customFormat="1" ht="18" customHeight="1" x14ac:dyDescent="0.2">
      <c r="A45" s="11"/>
      <c r="B45" s="525"/>
      <c r="C45" s="111" t="s">
        <v>2</v>
      </c>
      <c r="D45" s="112" t="s">
        <v>9</v>
      </c>
      <c r="E45" s="113">
        <v>0</v>
      </c>
      <c r="F45" s="113">
        <v>0</v>
      </c>
      <c r="G45" s="114">
        <v>0</v>
      </c>
      <c r="H45" s="115">
        <f>+G45+F45</f>
        <v>0</v>
      </c>
      <c r="I45" s="109"/>
      <c r="J45" s="530"/>
      <c r="K45" s="111" t="s">
        <v>2</v>
      </c>
      <c r="L45" s="112" t="s">
        <v>9</v>
      </c>
      <c r="M45" s="113">
        <v>0</v>
      </c>
      <c r="N45" s="113">
        <v>0</v>
      </c>
      <c r="O45" s="116">
        <v>0</v>
      </c>
      <c r="P45" s="115">
        <f>+O45+N45</f>
        <v>0</v>
      </c>
    </row>
    <row r="46" spans="1:16" s="1" customFormat="1" ht="18" customHeight="1" x14ac:dyDescent="0.2">
      <c r="A46" s="11"/>
      <c r="B46" s="526"/>
      <c r="C46" s="111" t="s">
        <v>4</v>
      </c>
      <c r="D46" s="112" t="s">
        <v>8</v>
      </c>
      <c r="E46" s="113">
        <v>0</v>
      </c>
      <c r="F46" s="113">
        <v>0</v>
      </c>
      <c r="G46" s="114">
        <v>0</v>
      </c>
      <c r="H46" s="115">
        <f>+G46+F46</f>
        <v>0</v>
      </c>
      <c r="I46" s="109"/>
      <c r="J46" s="531"/>
      <c r="K46" s="111" t="s">
        <v>4</v>
      </c>
      <c r="L46" s="112" t="s">
        <v>8</v>
      </c>
      <c r="M46" s="113">
        <v>0</v>
      </c>
      <c r="N46" s="113">
        <v>0</v>
      </c>
      <c r="O46" s="116">
        <v>0</v>
      </c>
      <c r="P46" s="115">
        <f>+O46+N46</f>
        <v>0</v>
      </c>
    </row>
    <row r="47" spans="1:16" s="1" customFormat="1" ht="18" customHeight="1" x14ac:dyDescent="0.2">
      <c r="A47" s="11"/>
      <c r="B47" s="524" t="s">
        <v>65</v>
      </c>
      <c r="C47" s="527" t="s">
        <v>21</v>
      </c>
      <c r="D47" s="528"/>
      <c r="E47" s="105">
        <f>SUM(E48:E50)</f>
        <v>2664000</v>
      </c>
      <c r="F47" s="105">
        <f>F48+F49+F50</f>
        <v>2664000</v>
      </c>
      <c r="G47" s="105">
        <f>G48+G49+G50</f>
        <v>0</v>
      </c>
      <c r="H47" s="105">
        <f>H48+H49+H50</f>
        <v>2664000</v>
      </c>
      <c r="I47" s="109"/>
      <c r="J47" s="529" t="s">
        <v>52</v>
      </c>
      <c r="K47" s="527" t="s">
        <v>12</v>
      </c>
      <c r="L47" s="528"/>
      <c r="M47" s="105">
        <f>SUM(M48:M50)</f>
        <v>0</v>
      </c>
      <c r="N47" s="105">
        <f>N48+N49+N50</f>
        <v>2190750</v>
      </c>
      <c r="O47" s="105">
        <f>O48+O49+O50</f>
        <v>0</v>
      </c>
      <c r="P47" s="110">
        <f>P48+P49+P50</f>
        <v>2190750</v>
      </c>
    </row>
    <row r="48" spans="1:16" s="1" customFormat="1" ht="18" customHeight="1" x14ac:dyDescent="0.2">
      <c r="A48" s="11"/>
      <c r="B48" s="525"/>
      <c r="C48" s="111" t="s">
        <v>1</v>
      </c>
      <c r="D48" s="112" t="s">
        <v>7</v>
      </c>
      <c r="E48" s="113">
        <v>2664000</v>
      </c>
      <c r="F48" s="113">
        <v>2664000</v>
      </c>
      <c r="G48" s="114">
        <v>0</v>
      </c>
      <c r="H48" s="115">
        <f>+G48+F48</f>
        <v>2664000</v>
      </c>
      <c r="I48" s="109"/>
      <c r="J48" s="530"/>
      <c r="K48" s="111" t="s">
        <v>1</v>
      </c>
      <c r="L48" s="112" t="s">
        <v>7</v>
      </c>
      <c r="M48" s="113">
        <v>0</v>
      </c>
      <c r="N48" s="113">
        <v>2190750</v>
      </c>
      <c r="O48" s="116">
        <v>0</v>
      </c>
      <c r="P48" s="115">
        <f>+O48+N48</f>
        <v>2190750</v>
      </c>
    </row>
    <row r="49" spans="1:16" s="1" customFormat="1" ht="18" customHeight="1" x14ac:dyDescent="0.2">
      <c r="A49" s="11"/>
      <c r="B49" s="525"/>
      <c r="C49" s="111" t="s">
        <v>2</v>
      </c>
      <c r="D49" s="112" t="s">
        <v>9</v>
      </c>
      <c r="E49" s="113">
        <v>0</v>
      </c>
      <c r="F49" s="113">
        <v>0</v>
      </c>
      <c r="G49" s="114">
        <v>0</v>
      </c>
      <c r="H49" s="115">
        <f>+G49+F49</f>
        <v>0</v>
      </c>
      <c r="I49" s="109"/>
      <c r="J49" s="530"/>
      <c r="K49" s="111" t="s">
        <v>2</v>
      </c>
      <c r="L49" s="112" t="s">
        <v>9</v>
      </c>
      <c r="M49" s="113">
        <v>0</v>
      </c>
      <c r="N49" s="113">
        <v>0</v>
      </c>
      <c r="O49" s="116">
        <v>0</v>
      </c>
      <c r="P49" s="115">
        <f>+O49+N49</f>
        <v>0</v>
      </c>
    </row>
    <row r="50" spans="1:16" s="1" customFormat="1" ht="18" customHeight="1" x14ac:dyDescent="0.2">
      <c r="A50" s="11"/>
      <c r="B50" s="526"/>
      <c r="C50" s="111" t="s">
        <v>4</v>
      </c>
      <c r="D50" s="112" t="s">
        <v>8</v>
      </c>
      <c r="E50" s="113">
        <v>0</v>
      </c>
      <c r="F50" s="113">
        <v>0</v>
      </c>
      <c r="G50" s="114">
        <v>0</v>
      </c>
      <c r="H50" s="115">
        <f>+G50+F50</f>
        <v>0</v>
      </c>
      <c r="I50" s="109"/>
      <c r="J50" s="531"/>
      <c r="K50" s="111" t="s">
        <v>4</v>
      </c>
      <c r="L50" s="112" t="s">
        <v>8</v>
      </c>
      <c r="M50" s="113">
        <v>0</v>
      </c>
      <c r="N50" s="113">
        <v>0</v>
      </c>
      <c r="O50" s="116">
        <v>0</v>
      </c>
      <c r="P50" s="115">
        <f>+O50+N50</f>
        <v>0</v>
      </c>
    </row>
    <row r="51" spans="1:16" s="1" customFormat="1" ht="18" customHeight="1" x14ac:dyDescent="0.2">
      <c r="A51" s="11"/>
      <c r="B51" s="524" t="s">
        <v>67</v>
      </c>
      <c r="C51" s="532" t="s">
        <v>43</v>
      </c>
      <c r="D51" s="533"/>
      <c r="E51" s="105">
        <f>SUM(E52:E54)</f>
        <v>0</v>
      </c>
      <c r="F51" s="105">
        <f>F52+F53+F54</f>
        <v>0</v>
      </c>
      <c r="G51" s="105">
        <f>G52+G53+G54</f>
        <v>0</v>
      </c>
      <c r="H51" s="105">
        <f>H52+H53+H54</f>
        <v>0</v>
      </c>
      <c r="I51" s="109"/>
      <c r="J51" s="529" t="s">
        <v>53</v>
      </c>
      <c r="K51" s="534" t="s">
        <v>54</v>
      </c>
      <c r="L51" s="534"/>
      <c r="M51" s="105">
        <f>SUM(M52:M54)</f>
        <v>0</v>
      </c>
      <c r="N51" s="105">
        <f>N52+N53+N54</f>
        <v>0</v>
      </c>
      <c r="O51" s="105">
        <f>O52+O53+O54</f>
        <v>0</v>
      </c>
      <c r="P51" s="110">
        <f>P52+P53+P54</f>
        <v>0</v>
      </c>
    </row>
    <row r="52" spans="1:16" s="1" customFormat="1" ht="18" customHeight="1" x14ac:dyDescent="0.2">
      <c r="A52" s="11"/>
      <c r="B52" s="525"/>
      <c r="C52" s="111" t="s">
        <v>1</v>
      </c>
      <c r="D52" s="112" t="s">
        <v>7</v>
      </c>
      <c r="E52" s="113">
        <v>0</v>
      </c>
      <c r="F52" s="113">
        <v>0</v>
      </c>
      <c r="G52" s="114">
        <v>0</v>
      </c>
      <c r="H52" s="115">
        <f>+G52+F52</f>
        <v>0</v>
      </c>
      <c r="I52" s="109"/>
      <c r="J52" s="530"/>
      <c r="K52" s="111" t="s">
        <v>1</v>
      </c>
      <c r="L52" s="112" t="s">
        <v>7</v>
      </c>
      <c r="M52" s="113">
        <v>0</v>
      </c>
      <c r="N52" s="113">
        <v>0</v>
      </c>
      <c r="O52" s="116">
        <v>0</v>
      </c>
      <c r="P52" s="115">
        <f>+O52+N52</f>
        <v>0</v>
      </c>
    </row>
    <row r="53" spans="1:16" s="1" customFormat="1" ht="18" customHeight="1" x14ac:dyDescent="0.2">
      <c r="A53" s="11"/>
      <c r="B53" s="525"/>
      <c r="C53" s="111" t="s">
        <v>2</v>
      </c>
      <c r="D53" s="112" t="s">
        <v>9</v>
      </c>
      <c r="E53" s="113">
        <v>0</v>
      </c>
      <c r="F53" s="113">
        <v>0</v>
      </c>
      <c r="G53" s="114">
        <v>0</v>
      </c>
      <c r="H53" s="115">
        <f>+G53+F53</f>
        <v>0</v>
      </c>
      <c r="I53" s="109"/>
      <c r="J53" s="530"/>
      <c r="K53" s="111" t="s">
        <v>2</v>
      </c>
      <c r="L53" s="112" t="s">
        <v>9</v>
      </c>
      <c r="M53" s="113">
        <v>0</v>
      </c>
      <c r="N53" s="113">
        <v>0</v>
      </c>
      <c r="O53" s="116">
        <v>0</v>
      </c>
      <c r="P53" s="115">
        <f>+O53+N53</f>
        <v>0</v>
      </c>
    </row>
    <row r="54" spans="1:16" s="1" customFormat="1" ht="18" customHeight="1" x14ac:dyDescent="0.2">
      <c r="A54" s="12"/>
      <c r="B54" s="526"/>
      <c r="C54" s="111" t="s">
        <v>4</v>
      </c>
      <c r="D54" s="112" t="s">
        <v>8</v>
      </c>
      <c r="E54" s="113">
        <v>0</v>
      </c>
      <c r="F54" s="113">
        <v>0</v>
      </c>
      <c r="G54" s="114">
        <v>0</v>
      </c>
      <c r="H54" s="115">
        <f>+G54+F54</f>
        <v>0</v>
      </c>
      <c r="I54" s="121"/>
      <c r="J54" s="531"/>
      <c r="K54" s="111" t="s">
        <v>4</v>
      </c>
      <c r="L54" s="112" t="s">
        <v>8</v>
      </c>
      <c r="M54" s="113">
        <v>0</v>
      </c>
      <c r="N54" s="113">
        <v>0</v>
      </c>
      <c r="O54" s="116">
        <v>0</v>
      </c>
      <c r="P54" s="115">
        <f>+O54+N54</f>
        <v>0</v>
      </c>
    </row>
    <row r="55" spans="1:16" s="1" customFormat="1" ht="18" customHeight="1" x14ac:dyDescent="0.2">
      <c r="A55" s="13" t="s">
        <v>3</v>
      </c>
      <c r="B55" s="504" t="s">
        <v>22</v>
      </c>
      <c r="C55" s="505"/>
      <c r="D55" s="506"/>
      <c r="E55" s="32">
        <f>SUM(E56:E58)</f>
        <v>2664000</v>
      </c>
      <c r="F55" s="32">
        <f>F56+F57+F58</f>
        <v>2664000</v>
      </c>
      <c r="G55" s="32">
        <f>G56+G57+G58</f>
        <v>0</v>
      </c>
      <c r="H55" s="32">
        <f>H56+H57+H58</f>
        <v>2664000</v>
      </c>
      <c r="I55" s="14" t="s">
        <v>3</v>
      </c>
      <c r="J55" s="504" t="s">
        <v>15</v>
      </c>
      <c r="K55" s="505"/>
      <c r="L55" s="506"/>
      <c r="M55" s="32">
        <f>SUM(M56:M58)</f>
        <v>206900276</v>
      </c>
      <c r="N55" s="32">
        <f>N56+N57+N58</f>
        <v>240591026</v>
      </c>
      <c r="O55" s="32">
        <f>O56+O57+O58</f>
        <v>0</v>
      </c>
      <c r="P55" s="33">
        <f>P56+P57+P58</f>
        <v>240591026</v>
      </c>
    </row>
    <row r="56" spans="1:16" s="1" customFormat="1" ht="18" customHeight="1" x14ac:dyDescent="0.2">
      <c r="A56" s="15"/>
      <c r="B56" s="507" t="s">
        <v>70</v>
      </c>
      <c r="C56" s="16" t="s">
        <v>1</v>
      </c>
      <c r="D56" s="17" t="s">
        <v>7</v>
      </c>
      <c r="E56" s="34">
        <f>E44+E48+E52</f>
        <v>2664000</v>
      </c>
      <c r="F56" s="34">
        <f t="shared" ref="F56:H58" si="3">F44+F48+F52</f>
        <v>2664000</v>
      </c>
      <c r="G56" s="34">
        <f>G44+G48+G52</f>
        <v>0</v>
      </c>
      <c r="H56" s="34">
        <f t="shared" si="3"/>
        <v>2664000</v>
      </c>
      <c r="I56" s="19"/>
      <c r="J56" s="509" t="s">
        <v>55</v>
      </c>
      <c r="K56" s="16" t="s">
        <v>1</v>
      </c>
      <c r="L56" s="17" t="s">
        <v>7</v>
      </c>
      <c r="M56" s="34">
        <f>M44+M48+M52</f>
        <v>206900276</v>
      </c>
      <c r="N56" s="34">
        <f t="shared" ref="N56:P58" si="4">N44+N48+N52</f>
        <v>240591026</v>
      </c>
      <c r="O56" s="34">
        <f t="shared" si="4"/>
        <v>0</v>
      </c>
      <c r="P56" s="35">
        <f t="shared" si="4"/>
        <v>240591026</v>
      </c>
    </row>
    <row r="57" spans="1:16" s="1" customFormat="1" ht="18" customHeight="1" x14ac:dyDescent="0.2">
      <c r="A57" s="15"/>
      <c r="B57" s="508"/>
      <c r="C57" s="16" t="s">
        <v>2</v>
      </c>
      <c r="D57" s="17" t="s">
        <v>9</v>
      </c>
      <c r="E57" s="34">
        <f>E45+E49+E53</f>
        <v>0</v>
      </c>
      <c r="F57" s="34">
        <f t="shared" si="3"/>
        <v>0</v>
      </c>
      <c r="G57" s="34">
        <f t="shared" si="3"/>
        <v>0</v>
      </c>
      <c r="H57" s="34">
        <f t="shared" si="3"/>
        <v>0</v>
      </c>
      <c r="I57" s="19"/>
      <c r="J57" s="509"/>
      <c r="K57" s="16" t="s">
        <v>2</v>
      </c>
      <c r="L57" s="17" t="s">
        <v>9</v>
      </c>
      <c r="M57" s="34">
        <v>0</v>
      </c>
      <c r="N57" s="34">
        <f t="shared" si="4"/>
        <v>0</v>
      </c>
      <c r="O57" s="34">
        <f t="shared" si="4"/>
        <v>0</v>
      </c>
      <c r="P57" s="35">
        <f t="shared" si="4"/>
        <v>0</v>
      </c>
    </row>
    <row r="58" spans="1:16" s="1" customFormat="1" ht="18" customHeight="1" x14ac:dyDescent="0.2">
      <c r="A58" s="15"/>
      <c r="B58" s="508"/>
      <c r="C58" s="20" t="s">
        <v>4</v>
      </c>
      <c r="D58" s="21" t="s">
        <v>8</v>
      </c>
      <c r="E58" s="34">
        <f>E46+E50+E54</f>
        <v>0</v>
      </c>
      <c r="F58" s="34">
        <f t="shared" si="3"/>
        <v>0</v>
      </c>
      <c r="G58" s="34">
        <f t="shared" si="3"/>
        <v>0</v>
      </c>
      <c r="H58" s="34">
        <f t="shared" si="3"/>
        <v>0</v>
      </c>
      <c r="I58" s="19"/>
      <c r="J58" s="510"/>
      <c r="K58" s="20" t="s">
        <v>4</v>
      </c>
      <c r="L58" s="21" t="s">
        <v>8</v>
      </c>
      <c r="M58" s="36">
        <f>M46+M50+M54</f>
        <v>0</v>
      </c>
      <c r="N58" s="36">
        <f t="shared" si="4"/>
        <v>0</v>
      </c>
      <c r="O58" s="36">
        <f t="shared" si="4"/>
        <v>0</v>
      </c>
      <c r="P58" s="37">
        <f t="shared" si="4"/>
        <v>0</v>
      </c>
    </row>
    <row r="59" spans="1:16" s="25" customFormat="1" ht="31.5" customHeight="1" thickBot="1" x14ac:dyDescent="0.25">
      <c r="A59" s="511" t="s">
        <v>85</v>
      </c>
      <c r="B59" s="512"/>
      <c r="C59" s="512"/>
      <c r="D59" s="512"/>
      <c r="E59" s="304">
        <f>M55-E55</f>
        <v>204236276</v>
      </c>
      <c r="F59" s="305">
        <f>N55-F55</f>
        <v>237927026</v>
      </c>
      <c r="G59" s="305">
        <f>O55-G55</f>
        <v>0</v>
      </c>
      <c r="H59" s="305">
        <f>P55-H55</f>
        <v>237927026</v>
      </c>
      <c r="I59" s="511" t="s">
        <v>86</v>
      </c>
      <c r="J59" s="512"/>
      <c r="K59" s="512"/>
      <c r="L59" s="512"/>
      <c r="M59" s="292"/>
      <c r="N59" s="294"/>
      <c r="O59" s="295"/>
      <c r="P59" s="296"/>
    </row>
    <row r="60" spans="1:16" s="1" customFormat="1" ht="18" customHeight="1" x14ac:dyDescent="0.2">
      <c r="A60" s="23" t="s">
        <v>29</v>
      </c>
      <c r="B60" s="513" t="s">
        <v>30</v>
      </c>
      <c r="C60" s="514"/>
      <c r="D60" s="515"/>
      <c r="E60" s="40">
        <f>SUM(E61:E63)</f>
        <v>957783380</v>
      </c>
      <c r="F60" s="40">
        <f>F61+F62+F63</f>
        <v>954835028</v>
      </c>
      <c r="G60" s="40">
        <f>G61+G62+G63</f>
        <v>24534479</v>
      </c>
      <c r="H60" s="40">
        <f>H61+H62+H63</f>
        <v>979369507</v>
      </c>
      <c r="I60" s="22" t="s">
        <v>29</v>
      </c>
      <c r="J60" s="516" t="s">
        <v>32</v>
      </c>
      <c r="K60" s="517"/>
      <c r="L60" s="517"/>
      <c r="M60" s="38">
        <f>SUM(M61:M63)</f>
        <v>1155461475</v>
      </c>
      <c r="N60" s="38">
        <f>N61+N62+N63</f>
        <v>1315172392</v>
      </c>
      <c r="O60" s="38">
        <f>O61+O62+O63</f>
        <v>-17019849</v>
      </c>
      <c r="P60" s="39">
        <f>P61+P62+P63</f>
        <v>1298152543</v>
      </c>
    </row>
    <row r="61" spans="1:16" s="1" customFormat="1" ht="18" customHeight="1" x14ac:dyDescent="0.2">
      <c r="A61" s="15"/>
      <c r="B61" s="518" t="s">
        <v>72</v>
      </c>
      <c r="C61" s="16" t="s">
        <v>1</v>
      </c>
      <c r="D61" s="17" t="s">
        <v>7</v>
      </c>
      <c r="E61" s="36">
        <f>E37+E56</f>
        <v>957783380</v>
      </c>
      <c r="F61" s="36">
        <f>F37+F56</f>
        <v>954835028</v>
      </c>
      <c r="G61" s="36">
        <f t="shared" ref="G61:H63" si="5">G37+G56</f>
        <v>24534479</v>
      </c>
      <c r="H61" s="36">
        <f t="shared" si="5"/>
        <v>979369507</v>
      </c>
      <c r="I61" s="521"/>
      <c r="J61" s="523" t="s">
        <v>71</v>
      </c>
      <c r="K61" s="16" t="s">
        <v>1</v>
      </c>
      <c r="L61" s="17" t="s">
        <v>7</v>
      </c>
      <c r="M61" s="36">
        <f>M37+M56</f>
        <v>1150193975</v>
      </c>
      <c r="N61" s="36">
        <f t="shared" ref="N61:P63" si="6">N37+N56</f>
        <v>1307804892</v>
      </c>
      <c r="O61" s="36">
        <f t="shared" si="6"/>
        <v>-23600691</v>
      </c>
      <c r="P61" s="37">
        <f t="shared" si="6"/>
        <v>1284204201</v>
      </c>
    </row>
    <row r="62" spans="1:16" s="1" customFormat="1" ht="18" customHeight="1" x14ac:dyDescent="0.2">
      <c r="A62" s="15"/>
      <c r="B62" s="519"/>
      <c r="C62" s="16" t="s">
        <v>2</v>
      </c>
      <c r="D62" s="17" t="s">
        <v>9</v>
      </c>
      <c r="E62" s="36">
        <v>0</v>
      </c>
      <c r="F62" s="36">
        <f>F38+F57</f>
        <v>0</v>
      </c>
      <c r="G62" s="36">
        <f t="shared" si="5"/>
        <v>0</v>
      </c>
      <c r="H62" s="36">
        <f t="shared" si="5"/>
        <v>0</v>
      </c>
      <c r="I62" s="521"/>
      <c r="J62" s="523"/>
      <c r="K62" s="16" t="s">
        <v>2</v>
      </c>
      <c r="L62" s="17" t="s">
        <v>9</v>
      </c>
      <c r="M62" s="36">
        <f>M38+M57</f>
        <v>5267500</v>
      </c>
      <c r="N62" s="36">
        <f t="shared" si="6"/>
        <v>7367500</v>
      </c>
      <c r="O62" s="36">
        <f t="shared" si="6"/>
        <v>6580842</v>
      </c>
      <c r="P62" s="37">
        <f t="shared" si="6"/>
        <v>13948342</v>
      </c>
    </row>
    <row r="63" spans="1:16" s="1" customFormat="1" ht="18" customHeight="1" x14ac:dyDescent="0.2">
      <c r="A63" s="18"/>
      <c r="B63" s="520"/>
      <c r="C63" s="16" t="s">
        <v>4</v>
      </c>
      <c r="D63" s="17" t="s">
        <v>8</v>
      </c>
      <c r="E63" s="34">
        <v>0</v>
      </c>
      <c r="F63" s="34">
        <f>F39+F58</f>
        <v>0</v>
      </c>
      <c r="G63" s="34">
        <f t="shared" si="5"/>
        <v>0</v>
      </c>
      <c r="H63" s="34">
        <f t="shared" si="5"/>
        <v>0</v>
      </c>
      <c r="I63" s="522"/>
      <c r="J63" s="523"/>
      <c r="K63" s="16" t="s">
        <v>4</v>
      </c>
      <c r="L63" s="17" t="s">
        <v>8</v>
      </c>
      <c r="M63" s="34">
        <v>0</v>
      </c>
      <c r="N63" s="34">
        <f t="shared" si="6"/>
        <v>0</v>
      </c>
      <c r="O63" s="34">
        <f t="shared" si="6"/>
        <v>0</v>
      </c>
      <c r="P63" s="35">
        <f t="shared" si="6"/>
        <v>0</v>
      </c>
    </row>
    <row r="64" spans="1:16" s="7" customFormat="1" ht="30" customHeight="1" thickBot="1" x14ac:dyDescent="0.25">
      <c r="A64" s="501" t="s">
        <v>59</v>
      </c>
      <c r="B64" s="502"/>
      <c r="C64" s="502"/>
      <c r="D64" s="503"/>
      <c r="E64" s="293">
        <f>M60-E60</f>
        <v>197678095</v>
      </c>
      <c r="F64" s="293">
        <f>N60-F60</f>
        <v>360337364</v>
      </c>
      <c r="G64" s="297"/>
      <c r="H64" s="298">
        <f>P60-H60</f>
        <v>318783036</v>
      </c>
      <c r="I64" s="501" t="s">
        <v>60</v>
      </c>
      <c r="J64" s="502"/>
      <c r="K64" s="502"/>
      <c r="L64" s="503"/>
      <c r="M64" s="299"/>
      <c r="N64" s="299"/>
      <c r="O64" s="299">
        <f>G60-O60</f>
        <v>41554328</v>
      </c>
      <c r="P64" s="300"/>
    </row>
    <row r="65" spans="1:16" s="1" customFormat="1" ht="18" customHeight="1" x14ac:dyDescent="0.2">
      <c r="A65" s="129" t="s">
        <v>33</v>
      </c>
      <c r="B65" s="490" t="s">
        <v>31</v>
      </c>
      <c r="C65" s="491"/>
      <c r="D65" s="492"/>
      <c r="E65" s="130">
        <f>SUM(E66:E67)</f>
        <v>598695602</v>
      </c>
      <c r="F65" s="130">
        <f>F66+F67</f>
        <v>752738621</v>
      </c>
      <c r="G65" s="130">
        <f>G66+G67</f>
        <v>0</v>
      </c>
      <c r="H65" s="130">
        <f>H66+H67</f>
        <v>752738621</v>
      </c>
      <c r="I65" s="131" t="s">
        <v>33</v>
      </c>
      <c r="J65" s="493" t="s">
        <v>44</v>
      </c>
      <c r="K65" s="494"/>
      <c r="L65" s="495"/>
      <c r="M65" s="132">
        <f>SUM(M66:M67)</f>
        <v>401017507</v>
      </c>
      <c r="N65" s="132">
        <f>N66+N67</f>
        <v>392401257</v>
      </c>
      <c r="O65" s="132">
        <f>O66+O67</f>
        <v>41554328</v>
      </c>
      <c r="P65" s="133">
        <f>P66+P67</f>
        <v>433955585</v>
      </c>
    </row>
    <row r="66" spans="1:16" s="1" customFormat="1" ht="18" customHeight="1" x14ac:dyDescent="0.2">
      <c r="A66" s="134"/>
      <c r="B66" s="496" t="s">
        <v>61</v>
      </c>
      <c r="C66" s="111" t="s">
        <v>1</v>
      </c>
      <c r="D66" s="112" t="s">
        <v>73</v>
      </c>
      <c r="E66" s="113">
        <v>598695602</v>
      </c>
      <c r="F66" s="113">
        <v>752738621</v>
      </c>
      <c r="G66" s="114">
        <v>0</v>
      </c>
      <c r="H66" s="115">
        <f>+G66+F66</f>
        <v>752738621</v>
      </c>
      <c r="I66" s="134"/>
      <c r="J66" s="496" t="s">
        <v>56</v>
      </c>
      <c r="K66" s="111" t="s">
        <v>1</v>
      </c>
      <c r="L66" s="112" t="s">
        <v>76</v>
      </c>
      <c r="M66" s="113">
        <v>388573507</v>
      </c>
      <c r="N66" s="113">
        <v>379957257</v>
      </c>
      <c r="O66" s="116">
        <f>1385488+21000000+6539068+3923689+8706083</f>
        <v>41554328</v>
      </c>
      <c r="P66" s="115">
        <f>+O66+N66</f>
        <v>421511585</v>
      </c>
    </row>
    <row r="67" spans="1:16" s="1" customFormat="1" ht="18" customHeight="1" x14ac:dyDescent="0.2">
      <c r="A67" s="134"/>
      <c r="B67" s="497"/>
      <c r="C67" s="111" t="s">
        <v>2</v>
      </c>
      <c r="D67" s="112" t="s">
        <v>74</v>
      </c>
      <c r="E67" s="113">
        <v>0</v>
      </c>
      <c r="F67" s="113">
        <v>0</v>
      </c>
      <c r="G67" s="114">
        <v>0</v>
      </c>
      <c r="H67" s="115">
        <f>+G67+F67</f>
        <v>0</v>
      </c>
      <c r="I67" s="134"/>
      <c r="J67" s="497"/>
      <c r="K67" s="111" t="s">
        <v>2</v>
      </c>
      <c r="L67" s="112" t="s">
        <v>75</v>
      </c>
      <c r="M67" s="113">
        <v>12444000</v>
      </c>
      <c r="N67" s="113">
        <v>12444000</v>
      </c>
      <c r="O67" s="116">
        <v>0</v>
      </c>
      <c r="P67" s="115">
        <f>+O67+N67</f>
        <v>12444000</v>
      </c>
    </row>
    <row r="68" spans="1:16" s="6" customFormat="1" ht="18" customHeight="1" x14ac:dyDescent="0.2">
      <c r="A68" s="271" t="s">
        <v>34</v>
      </c>
      <c r="B68" s="498" t="s">
        <v>24</v>
      </c>
      <c r="C68" s="499"/>
      <c r="D68" s="500"/>
      <c r="E68" s="272">
        <f>SUM(E69:E71)</f>
        <v>1556478982</v>
      </c>
      <c r="F68" s="272">
        <f>F69+F70+F71</f>
        <v>1707573649</v>
      </c>
      <c r="G68" s="272">
        <f>G69+G70+G71</f>
        <v>24534479</v>
      </c>
      <c r="H68" s="272">
        <f>H69+H70+H71</f>
        <v>1732108128</v>
      </c>
      <c r="I68" s="273" t="s">
        <v>34</v>
      </c>
      <c r="J68" s="498" t="s">
        <v>25</v>
      </c>
      <c r="K68" s="499"/>
      <c r="L68" s="500"/>
      <c r="M68" s="272">
        <f>SUM(M69:M71)</f>
        <v>1556478982</v>
      </c>
      <c r="N68" s="272">
        <f>N69+N70+N71</f>
        <v>1707573649</v>
      </c>
      <c r="O68" s="272">
        <f>O69+O70+O71</f>
        <v>24534479</v>
      </c>
      <c r="P68" s="274">
        <f>P69+P70+P71</f>
        <v>1732108128</v>
      </c>
    </row>
    <row r="69" spans="1:16" s="6" customFormat="1" ht="18" customHeight="1" x14ac:dyDescent="0.2">
      <c r="A69" s="275"/>
      <c r="B69" s="486" t="s">
        <v>58</v>
      </c>
      <c r="C69" s="276" t="s">
        <v>1</v>
      </c>
      <c r="D69" s="277" t="s">
        <v>7</v>
      </c>
      <c r="E69" s="278">
        <f>E61+E66+E67</f>
        <v>1556478982</v>
      </c>
      <c r="F69" s="278">
        <f>F61+F66+F67</f>
        <v>1707573649</v>
      </c>
      <c r="G69" s="278">
        <f>G61+G66+G67</f>
        <v>24534479</v>
      </c>
      <c r="H69" s="278">
        <f>H61+H66+H67</f>
        <v>1732108128</v>
      </c>
      <c r="I69" s="279"/>
      <c r="J69" s="486" t="s">
        <v>57</v>
      </c>
      <c r="K69" s="276" t="s">
        <v>1</v>
      </c>
      <c r="L69" s="277" t="s">
        <v>7</v>
      </c>
      <c r="M69" s="278">
        <f>M61+M66+M67</f>
        <v>1551211482</v>
      </c>
      <c r="N69" s="278">
        <f>N61+N66+N67</f>
        <v>1700206149</v>
      </c>
      <c r="O69" s="278">
        <f>O61+O66+O67</f>
        <v>17953637</v>
      </c>
      <c r="P69" s="280">
        <f>P61+P66+P67</f>
        <v>1718159786</v>
      </c>
    </row>
    <row r="70" spans="1:16" s="6" customFormat="1" ht="18" customHeight="1" x14ac:dyDescent="0.2">
      <c r="A70" s="275"/>
      <c r="B70" s="487"/>
      <c r="C70" s="276" t="s">
        <v>2</v>
      </c>
      <c r="D70" s="277" t="s">
        <v>9</v>
      </c>
      <c r="E70" s="278">
        <v>0</v>
      </c>
      <c r="F70" s="278">
        <f t="shared" ref="F70:H71" si="7">F62</f>
        <v>0</v>
      </c>
      <c r="G70" s="278">
        <f t="shared" si="7"/>
        <v>0</v>
      </c>
      <c r="H70" s="278">
        <f t="shared" si="7"/>
        <v>0</v>
      </c>
      <c r="I70" s="279"/>
      <c r="J70" s="487"/>
      <c r="K70" s="276" t="s">
        <v>2</v>
      </c>
      <c r="L70" s="277" t="s">
        <v>9</v>
      </c>
      <c r="M70" s="278">
        <f>M62</f>
        <v>5267500</v>
      </c>
      <c r="N70" s="278">
        <f>N62</f>
        <v>7367500</v>
      </c>
      <c r="O70" s="278">
        <f t="shared" ref="N70:P71" si="8">O62</f>
        <v>6580842</v>
      </c>
      <c r="P70" s="280">
        <f t="shared" si="8"/>
        <v>13948342</v>
      </c>
    </row>
    <row r="71" spans="1:16" s="6" customFormat="1" ht="18" customHeight="1" thickBot="1" x14ac:dyDescent="0.25">
      <c r="A71" s="281"/>
      <c r="B71" s="488"/>
      <c r="C71" s="282" t="s">
        <v>4</v>
      </c>
      <c r="D71" s="283" t="s">
        <v>8</v>
      </c>
      <c r="E71" s="284">
        <v>0</v>
      </c>
      <c r="F71" s="284">
        <f t="shared" si="7"/>
        <v>0</v>
      </c>
      <c r="G71" s="284">
        <f t="shared" si="7"/>
        <v>0</v>
      </c>
      <c r="H71" s="284">
        <f t="shared" si="7"/>
        <v>0</v>
      </c>
      <c r="I71" s="285"/>
      <c r="J71" s="488"/>
      <c r="K71" s="282" t="s">
        <v>4</v>
      </c>
      <c r="L71" s="283" t="s">
        <v>8</v>
      </c>
      <c r="M71" s="284">
        <v>0</v>
      </c>
      <c r="N71" s="284">
        <f t="shared" si="8"/>
        <v>0</v>
      </c>
      <c r="O71" s="284">
        <f t="shared" si="8"/>
        <v>0</v>
      </c>
      <c r="P71" s="286">
        <f t="shared" si="8"/>
        <v>0</v>
      </c>
    </row>
    <row r="74" spans="1:16" x14ac:dyDescent="0.2">
      <c r="A74" s="489"/>
      <c r="B74" s="489"/>
      <c r="C74" s="489"/>
      <c r="D74" s="489"/>
      <c r="E74" s="489"/>
      <c r="F74" s="489"/>
      <c r="G74" s="31"/>
      <c r="H74" s="31"/>
    </row>
  </sheetData>
  <sheetProtection formatCells="0"/>
  <mergeCells count="78">
    <mergeCell ref="A7:P7"/>
    <mergeCell ref="K1:P1"/>
    <mergeCell ref="K2:P2"/>
    <mergeCell ref="A4:P4"/>
    <mergeCell ref="A5:P5"/>
    <mergeCell ref="A6:P6"/>
    <mergeCell ref="A8:P8"/>
    <mergeCell ref="D9:L9"/>
    <mergeCell ref="A10:F10"/>
    <mergeCell ref="I10:P10"/>
    <mergeCell ref="C11:D11"/>
    <mergeCell ref="K11:L11"/>
    <mergeCell ref="A12:P12"/>
    <mergeCell ref="B13:D13"/>
    <mergeCell ref="J13:L13"/>
    <mergeCell ref="B14:B17"/>
    <mergeCell ref="C14:D14"/>
    <mergeCell ref="J14:J17"/>
    <mergeCell ref="K14:L14"/>
    <mergeCell ref="B18:B21"/>
    <mergeCell ref="C18:D18"/>
    <mergeCell ref="J18:J21"/>
    <mergeCell ref="K18:L18"/>
    <mergeCell ref="B22:B25"/>
    <mergeCell ref="C22:D22"/>
    <mergeCell ref="J22:J25"/>
    <mergeCell ref="K22:L22"/>
    <mergeCell ref="A40:D40"/>
    <mergeCell ref="I40:L40"/>
    <mergeCell ref="B26:B29"/>
    <mergeCell ref="C26:D26"/>
    <mergeCell ref="J26:J29"/>
    <mergeCell ref="K26:L26"/>
    <mergeCell ref="A30:H35"/>
    <mergeCell ref="J30:J35"/>
    <mergeCell ref="K30:L30"/>
    <mergeCell ref="B36:D36"/>
    <mergeCell ref="J36:L36"/>
    <mergeCell ref="B37:B39"/>
    <mergeCell ref="I37:I39"/>
    <mergeCell ref="J37:J39"/>
    <mergeCell ref="A41:P41"/>
    <mergeCell ref="B42:D42"/>
    <mergeCell ref="J42:L42"/>
    <mergeCell ref="B43:B46"/>
    <mergeCell ref="C43:D43"/>
    <mergeCell ref="J43:J46"/>
    <mergeCell ref="K43:L43"/>
    <mergeCell ref="B47:B50"/>
    <mergeCell ref="C47:D47"/>
    <mergeCell ref="J47:J50"/>
    <mergeCell ref="K47:L47"/>
    <mergeCell ref="B51:B54"/>
    <mergeCell ref="C51:D51"/>
    <mergeCell ref="J51:J54"/>
    <mergeCell ref="K51:L51"/>
    <mergeCell ref="A64:D64"/>
    <mergeCell ref="I64:L64"/>
    <mergeCell ref="B55:D55"/>
    <mergeCell ref="J55:L55"/>
    <mergeCell ref="B56:B58"/>
    <mergeCell ref="J56:J58"/>
    <mergeCell ref="A59:D59"/>
    <mergeCell ref="I59:L59"/>
    <mergeCell ref="B60:D60"/>
    <mergeCell ref="J60:L60"/>
    <mergeCell ref="B61:B63"/>
    <mergeCell ref="I61:I63"/>
    <mergeCell ref="J61:J63"/>
    <mergeCell ref="B69:B71"/>
    <mergeCell ref="J69:J71"/>
    <mergeCell ref="A74:F74"/>
    <mergeCell ref="B65:D65"/>
    <mergeCell ref="J65:L65"/>
    <mergeCell ref="B66:B67"/>
    <mergeCell ref="J66:J67"/>
    <mergeCell ref="B68:D68"/>
    <mergeCell ref="J68:L68"/>
  </mergeCells>
  <printOptions horizontalCentered="1"/>
  <pageMargins left="0.19685039370078741" right="0.19685039370078741" top="3.937007874015748E-2" bottom="0" header="0.43307086614173229" footer="0.51181102362204722"/>
  <pageSetup paperSize="9" scale="61" orientation="landscape" horizontalDpi="300" verticalDpi="300" r:id="rId1"/>
  <headerFooter alignWithMargins="0"/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CB1E8-143F-41D4-BA84-E168E93A5DA5}">
  <sheetPr>
    <tabColor rgb="FF92D050"/>
  </sheetPr>
  <dimension ref="A1:T74"/>
  <sheetViews>
    <sheetView tabSelected="1" topLeftCell="A40" zoomScaleNormal="100" workbookViewId="0">
      <selection activeCell="S48" sqref="S48"/>
    </sheetView>
  </sheetViews>
  <sheetFormatPr defaultColWidth="9.140625" defaultRowHeight="12.75" x14ac:dyDescent="0.2"/>
  <cols>
    <col min="1" max="1" width="5.5703125" style="43" customWidth="1"/>
    <col min="2" max="2" width="4.28515625" style="43" customWidth="1"/>
    <col min="3" max="3" width="3.7109375" style="29" customWidth="1"/>
    <col min="4" max="4" width="45.7109375" style="29" customWidth="1"/>
    <col min="5" max="5" width="13.7109375" style="29" customWidth="1"/>
    <col min="6" max="8" width="13.7109375" style="44" customWidth="1"/>
    <col min="9" max="9" width="6.5703125" style="45" customWidth="1"/>
    <col min="10" max="10" width="4.28515625" style="45" customWidth="1"/>
    <col min="11" max="11" width="3.7109375" style="45" customWidth="1"/>
    <col min="12" max="12" width="45.7109375" style="29" customWidth="1"/>
    <col min="13" max="15" width="13.7109375" style="29" customWidth="1"/>
    <col min="16" max="16" width="13.7109375" style="44" customWidth="1"/>
    <col min="17" max="16384" width="9.140625" style="29"/>
  </cols>
  <sheetData>
    <row r="1" spans="1:20" s="3" customFormat="1" ht="14.25" x14ac:dyDescent="0.2">
      <c r="A1" s="31"/>
      <c r="B1" s="31"/>
      <c r="E1" s="4"/>
      <c r="F1" s="4"/>
      <c r="G1" s="4"/>
      <c r="H1" s="9"/>
      <c r="I1" s="9"/>
      <c r="J1" s="9"/>
      <c r="K1" s="485" t="s">
        <v>190</v>
      </c>
      <c r="L1" s="485"/>
      <c r="M1" s="485"/>
      <c r="N1" s="485"/>
      <c r="O1" s="485"/>
      <c r="P1" s="485"/>
      <c r="Q1" s="28"/>
      <c r="R1" s="28"/>
      <c r="S1" s="28"/>
      <c r="T1" s="28"/>
    </row>
    <row r="2" spans="1:20" s="3" customFormat="1" ht="14.25" x14ac:dyDescent="0.2">
      <c r="A2" s="31"/>
      <c r="B2" s="31"/>
      <c r="E2" s="4"/>
      <c r="F2" s="4"/>
      <c r="G2" s="4"/>
      <c r="H2" s="9"/>
      <c r="I2" s="9"/>
      <c r="J2" s="9"/>
      <c r="K2" s="485" t="s">
        <v>191</v>
      </c>
      <c r="L2" s="485"/>
      <c r="M2" s="485"/>
      <c r="N2" s="485"/>
      <c r="O2" s="485"/>
      <c r="P2" s="485"/>
      <c r="Q2" s="28"/>
      <c r="R2" s="28"/>
      <c r="S2" s="28"/>
      <c r="T2" s="28"/>
    </row>
    <row r="3" spans="1:20" s="3" customFormat="1" ht="14.25" x14ac:dyDescent="0.2">
      <c r="A3" s="31"/>
      <c r="B3" s="31"/>
      <c r="E3" s="4"/>
      <c r="F3" s="4"/>
      <c r="G3" s="4"/>
      <c r="H3" s="9"/>
      <c r="I3" s="9"/>
      <c r="J3" s="9"/>
      <c r="K3" s="30"/>
      <c r="L3" s="30"/>
      <c r="M3" s="30"/>
      <c r="N3" s="30"/>
      <c r="O3" s="28"/>
      <c r="P3" s="28"/>
      <c r="Q3" s="28"/>
      <c r="R3" s="28"/>
      <c r="S3" s="28"/>
      <c r="T3" s="28"/>
    </row>
    <row r="4" spans="1:20" s="3" customFormat="1" ht="15.95" customHeight="1" x14ac:dyDescent="0.25">
      <c r="A4" s="476" t="s">
        <v>192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</row>
    <row r="5" spans="1:20" s="3" customFormat="1" ht="15.95" customHeight="1" x14ac:dyDescent="0.25">
      <c r="A5" s="476" t="s">
        <v>23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</row>
    <row r="6" spans="1:20" s="3" customFormat="1" ht="15.95" customHeight="1" x14ac:dyDescent="0.25">
      <c r="A6" s="476" t="s">
        <v>39</v>
      </c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</row>
    <row r="7" spans="1:20" s="3" customFormat="1" ht="15.95" customHeight="1" x14ac:dyDescent="0.25">
      <c r="A7" s="476" t="s">
        <v>188</v>
      </c>
      <c r="B7" s="476"/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</row>
    <row r="8" spans="1:20" s="3" customFormat="1" ht="15.95" customHeight="1" x14ac:dyDescent="0.25">
      <c r="A8" s="476" t="s">
        <v>189</v>
      </c>
      <c r="B8" s="476"/>
      <c r="C8" s="476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476"/>
    </row>
    <row r="9" spans="1:20" ht="15.95" customHeight="1" thickBot="1" x14ac:dyDescent="0.35">
      <c r="D9" s="477"/>
      <c r="E9" s="477"/>
      <c r="F9" s="477"/>
      <c r="G9" s="477"/>
      <c r="H9" s="477"/>
      <c r="I9" s="477"/>
      <c r="J9" s="477"/>
      <c r="K9" s="477"/>
      <c r="L9" s="477"/>
      <c r="M9" s="46"/>
      <c r="N9" s="46"/>
      <c r="O9" s="46"/>
      <c r="P9" s="47" t="s">
        <v>95</v>
      </c>
    </row>
    <row r="10" spans="1:20" s="48" customFormat="1" ht="21.95" customHeight="1" x14ac:dyDescent="0.2">
      <c r="A10" s="478" t="s">
        <v>37</v>
      </c>
      <c r="B10" s="479"/>
      <c r="C10" s="479"/>
      <c r="D10" s="479"/>
      <c r="E10" s="479"/>
      <c r="F10" s="479"/>
      <c r="G10" s="234"/>
      <c r="H10" s="234"/>
      <c r="I10" s="478" t="s">
        <v>38</v>
      </c>
      <c r="J10" s="479"/>
      <c r="K10" s="479"/>
      <c r="L10" s="479"/>
      <c r="M10" s="479"/>
      <c r="N10" s="479"/>
      <c r="O10" s="479"/>
      <c r="P10" s="480"/>
    </row>
    <row r="11" spans="1:20" s="48" customFormat="1" ht="41.25" customHeight="1" thickBot="1" x14ac:dyDescent="0.25">
      <c r="A11" s="235" t="s">
        <v>77</v>
      </c>
      <c r="B11" s="236" t="s">
        <v>78</v>
      </c>
      <c r="C11" s="481"/>
      <c r="D11" s="482"/>
      <c r="E11" s="167" t="s">
        <v>28</v>
      </c>
      <c r="F11" s="237" t="s">
        <v>88</v>
      </c>
      <c r="G11" s="237" t="s">
        <v>87</v>
      </c>
      <c r="H11" s="237" t="s">
        <v>88</v>
      </c>
      <c r="I11" s="235" t="s">
        <v>77</v>
      </c>
      <c r="J11" s="236" t="s">
        <v>78</v>
      </c>
      <c r="K11" s="483"/>
      <c r="L11" s="484"/>
      <c r="M11" s="167" t="s">
        <v>28</v>
      </c>
      <c r="N11" s="237" t="s">
        <v>88</v>
      </c>
      <c r="O11" s="237" t="s">
        <v>87</v>
      </c>
      <c r="P11" s="238" t="s">
        <v>88</v>
      </c>
    </row>
    <row r="12" spans="1:20" s="49" customFormat="1" ht="18" customHeight="1" x14ac:dyDescent="0.2">
      <c r="A12" s="443" t="s">
        <v>36</v>
      </c>
      <c r="B12" s="444"/>
      <c r="C12" s="444"/>
      <c r="D12" s="444"/>
      <c r="E12" s="444"/>
      <c r="F12" s="444"/>
      <c r="G12" s="444"/>
      <c r="H12" s="444"/>
      <c r="I12" s="444"/>
      <c r="J12" s="444"/>
      <c r="K12" s="444"/>
      <c r="L12" s="444"/>
      <c r="M12" s="444"/>
      <c r="N12" s="444"/>
      <c r="O12" s="444"/>
      <c r="P12" s="445"/>
    </row>
    <row r="13" spans="1:20" s="55" customFormat="1" ht="18" customHeight="1" x14ac:dyDescent="0.2">
      <c r="A13" s="50" t="s">
        <v>0</v>
      </c>
      <c r="B13" s="446" t="s">
        <v>35</v>
      </c>
      <c r="C13" s="447"/>
      <c r="D13" s="448"/>
      <c r="E13" s="105">
        <f>E14+E18+E22+E26</f>
        <v>720000</v>
      </c>
      <c r="F13" s="51">
        <f>F14+F18+F22+F26</f>
        <v>34938660</v>
      </c>
      <c r="G13" s="135">
        <f>G14+G18+G22+G26</f>
        <v>0</v>
      </c>
      <c r="H13" s="51">
        <f>H14+H18+H22+H26</f>
        <v>34938660</v>
      </c>
      <c r="I13" s="52" t="s">
        <v>0</v>
      </c>
      <c r="J13" s="473" t="s">
        <v>17</v>
      </c>
      <c r="K13" s="474"/>
      <c r="L13" s="475"/>
      <c r="M13" s="53">
        <f>M14+M18+M22+M26+M30</f>
        <v>388658507</v>
      </c>
      <c r="N13" s="53">
        <f>N14+N18+N22+N26+N30</f>
        <v>432246452</v>
      </c>
      <c r="O13" s="136">
        <f>O14+O18+O22+O30+O26</f>
        <v>39826328</v>
      </c>
      <c r="P13" s="54">
        <f>P14+P18+P22+P30+P26</f>
        <v>472072780</v>
      </c>
    </row>
    <row r="14" spans="1:20" s="49" customFormat="1" ht="18" customHeight="1" x14ac:dyDescent="0.2">
      <c r="A14" s="56"/>
      <c r="B14" s="432" t="s">
        <v>50</v>
      </c>
      <c r="C14" s="452" t="s">
        <v>42</v>
      </c>
      <c r="D14" s="453"/>
      <c r="E14" s="105">
        <f>E15+E16+E17</f>
        <v>0</v>
      </c>
      <c r="F14" s="51">
        <f>F15+F16+F17</f>
        <v>34218660</v>
      </c>
      <c r="G14" s="135">
        <f>G15+G16+G17</f>
        <v>0</v>
      </c>
      <c r="H14" s="51">
        <f>H15+H16+H17</f>
        <v>34218660</v>
      </c>
      <c r="I14" s="57"/>
      <c r="J14" s="437" t="s">
        <v>45</v>
      </c>
      <c r="K14" s="457" t="s">
        <v>13</v>
      </c>
      <c r="L14" s="457"/>
      <c r="M14" s="51">
        <f>SUM(M15:M17)</f>
        <v>270162021</v>
      </c>
      <c r="N14" s="51">
        <f>N15+N16+N17</f>
        <v>296819642</v>
      </c>
      <c r="O14" s="135">
        <f>O15+O16+O17</f>
        <v>21634181</v>
      </c>
      <c r="P14" s="58">
        <f>P15+P16+P17</f>
        <v>318453823</v>
      </c>
    </row>
    <row r="15" spans="1:20" s="49" customFormat="1" ht="18" customHeight="1" x14ac:dyDescent="0.2">
      <c r="A15" s="56"/>
      <c r="B15" s="433"/>
      <c r="C15" s="59" t="s">
        <v>1</v>
      </c>
      <c r="D15" s="60" t="s">
        <v>7</v>
      </c>
      <c r="E15" s="113">
        <v>0</v>
      </c>
      <c r="F15" s="61">
        <v>34218660</v>
      </c>
      <c r="G15" s="137">
        <v>0</v>
      </c>
      <c r="H15" s="62">
        <f>+G15+F15</f>
        <v>34218660</v>
      </c>
      <c r="I15" s="57"/>
      <c r="J15" s="438"/>
      <c r="K15" s="59" t="s">
        <v>1</v>
      </c>
      <c r="L15" s="60" t="s">
        <v>7</v>
      </c>
      <c r="M15" s="61">
        <v>270162021</v>
      </c>
      <c r="N15" s="61">
        <v>296819642</v>
      </c>
      <c r="O15" s="138">
        <f>2296467+2600000+3445226+5608850+7683638</f>
        <v>21634181</v>
      </c>
      <c r="P15" s="62">
        <f>+O15+N15</f>
        <v>318453823</v>
      </c>
    </row>
    <row r="16" spans="1:20" s="49" customFormat="1" ht="18" customHeight="1" x14ac:dyDescent="0.2">
      <c r="A16" s="56"/>
      <c r="B16" s="433"/>
      <c r="C16" s="59" t="s">
        <v>2</v>
      </c>
      <c r="D16" s="60" t="s">
        <v>9</v>
      </c>
      <c r="E16" s="113">
        <v>0</v>
      </c>
      <c r="F16" s="61">
        <v>0</v>
      </c>
      <c r="G16" s="137">
        <v>0</v>
      </c>
      <c r="H16" s="62">
        <f t="shared" ref="H16:H25" si="0">+G16+F16</f>
        <v>0</v>
      </c>
      <c r="I16" s="57"/>
      <c r="J16" s="438"/>
      <c r="K16" s="59" t="s">
        <v>2</v>
      </c>
      <c r="L16" s="60" t="s">
        <v>9</v>
      </c>
      <c r="M16" s="61">
        <v>0</v>
      </c>
      <c r="N16" s="61">
        <v>0</v>
      </c>
      <c r="O16" s="138">
        <v>0</v>
      </c>
      <c r="P16" s="62">
        <f>+O16+N16</f>
        <v>0</v>
      </c>
    </row>
    <row r="17" spans="1:18" s="49" customFormat="1" ht="18" customHeight="1" x14ac:dyDescent="0.2">
      <c r="A17" s="56"/>
      <c r="B17" s="434"/>
      <c r="C17" s="59" t="s">
        <v>4</v>
      </c>
      <c r="D17" s="60" t="s">
        <v>8</v>
      </c>
      <c r="E17" s="113">
        <v>0</v>
      </c>
      <c r="F17" s="61">
        <v>0</v>
      </c>
      <c r="G17" s="137">
        <v>0</v>
      </c>
      <c r="H17" s="62">
        <f t="shared" si="0"/>
        <v>0</v>
      </c>
      <c r="I17" s="57"/>
      <c r="J17" s="439"/>
      <c r="K17" s="59" t="s">
        <v>4</v>
      </c>
      <c r="L17" s="60" t="s">
        <v>8</v>
      </c>
      <c r="M17" s="61">
        <v>0</v>
      </c>
      <c r="N17" s="61">
        <v>0</v>
      </c>
      <c r="O17" s="138">
        <v>0</v>
      </c>
      <c r="P17" s="62">
        <f>+O17+N17</f>
        <v>0</v>
      </c>
    </row>
    <row r="18" spans="1:18" s="49" customFormat="1" ht="18" customHeight="1" x14ac:dyDescent="0.2">
      <c r="A18" s="56"/>
      <c r="B18" s="432" t="s">
        <v>63</v>
      </c>
      <c r="C18" s="435" t="s">
        <v>5</v>
      </c>
      <c r="D18" s="436"/>
      <c r="E18" s="105">
        <f>E19+E20+E21</f>
        <v>0</v>
      </c>
      <c r="F18" s="51">
        <f>F19+F20+F21</f>
        <v>0</v>
      </c>
      <c r="G18" s="135">
        <f>G19+G20+G21</f>
        <v>0</v>
      </c>
      <c r="H18" s="51">
        <f>H19+H20+H21</f>
        <v>0</v>
      </c>
      <c r="I18" s="57"/>
      <c r="J18" s="437" t="s">
        <v>46</v>
      </c>
      <c r="K18" s="442" t="s">
        <v>16</v>
      </c>
      <c r="L18" s="442"/>
      <c r="M18" s="51">
        <f>SUM(M19:M21)</f>
        <v>41429763</v>
      </c>
      <c r="N18" s="51">
        <f>N19+N20+N21</f>
        <v>44894552</v>
      </c>
      <c r="O18" s="135">
        <f>O19+O20+O21</f>
        <v>3520147</v>
      </c>
      <c r="P18" s="58">
        <f>P19+P20+P21</f>
        <v>48414699</v>
      </c>
    </row>
    <row r="19" spans="1:18" s="49" customFormat="1" ht="18" customHeight="1" x14ac:dyDescent="0.2">
      <c r="A19" s="56"/>
      <c r="B19" s="433"/>
      <c r="C19" s="59" t="s">
        <v>1</v>
      </c>
      <c r="D19" s="60" t="s">
        <v>7</v>
      </c>
      <c r="E19" s="113">
        <v>0</v>
      </c>
      <c r="F19" s="61">
        <v>0</v>
      </c>
      <c r="G19" s="137">
        <v>0</v>
      </c>
      <c r="H19" s="62">
        <f t="shared" si="0"/>
        <v>0</v>
      </c>
      <c r="I19" s="57"/>
      <c r="J19" s="438"/>
      <c r="K19" s="59" t="s">
        <v>1</v>
      </c>
      <c r="L19" s="60" t="s">
        <v>7</v>
      </c>
      <c r="M19" s="61">
        <v>41429763</v>
      </c>
      <c r="N19" s="61">
        <v>44894552</v>
      </c>
      <c r="O19" s="138">
        <f>361021+728000+478463+930218+1022445</f>
        <v>3520147</v>
      </c>
      <c r="P19" s="62">
        <f>+O19+N19</f>
        <v>48414699</v>
      </c>
    </row>
    <row r="20" spans="1:18" s="49" customFormat="1" ht="18" customHeight="1" x14ac:dyDescent="0.2">
      <c r="A20" s="56"/>
      <c r="B20" s="433"/>
      <c r="C20" s="59" t="s">
        <v>2</v>
      </c>
      <c r="D20" s="60" t="s">
        <v>9</v>
      </c>
      <c r="E20" s="113">
        <v>0</v>
      </c>
      <c r="F20" s="61">
        <v>0</v>
      </c>
      <c r="G20" s="137">
        <v>0</v>
      </c>
      <c r="H20" s="62">
        <f t="shared" si="0"/>
        <v>0</v>
      </c>
      <c r="I20" s="57"/>
      <c r="J20" s="438"/>
      <c r="K20" s="59" t="s">
        <v>2</v>
      </c>
      <c r="L20" s="60" t="s">
        <v>9</v>
      </c>
      <c r="M20" s="61">
        <v>0</v>
      </c>
      <c r="N20" s="61">
        <v>0</v>
      </c>
      <c r="O20" s="138">
        <v>0</v>
      </c>
      <c r="P20" s="62">
        <f>+O20+N20</f>
        <v>0</v>
      </c>
    </row>
    <row r="21" spans="1:18" s="49" customFormat="1" ht="18" customHeight="1" x14ac:dyDescent="0.2">
      <c r="A21" s="56"/>
      <c r="B21" s="434"/>
      <c r="C21" s="59" t="s">
        <v>4</v>
      </c>
      <c r="D21" s="60" t="s">
        <v>8</v>
      </c>
      <c r="E21" s="113">
        <v>0</v>
      </c>
      <c r="F21" s="61">
        <v>0</v>
      </c>
      <c r="G21" s="137">
        <v>0</v>
      </c>
      <c r="H21" s="62">
        <f t="shared" si="0"/>
        <v>0</v>
      </c>
      <c r="I21" s="57"/>
      <c r="J21" s="439"/>
      <c r="K21" s="59" t="s">
        <v>4</v>
      </c>
      <c r="L21" s="60" t="s">
        <v>8</v>
      </c>
      <c r="M21" s="61">
        <v>0</v>
      </c>
      <c r="N21" s="61">
        <v>0</v>
      </c>
      <c r="O21" s="138">
        <v>0</v>
      </c>
      <c r="P21" s="62">
        <f>+O21+N21</f>
        <v>0</v>
      </c>
    </row>
    <row r="22" spans="1:18" s="49" customFormat="1" ht="18" customHeight="1" x14ac:dyDescent="0.2">
      <c r="A22" s="56"/>
      <c r="B22" s="432" t="s">
        <v>64</v>
      </c>
      <c r="C22" s="435" t="s">
        <v>27</v>
      </c>
      <c r="D22" s="436"/>
      <c r="E22" s="105">
        <f>E23+E24+E25</f>
        <v>720000</v>
      </c>
      <c r="F22" s="51">
        <f>F23+F24+F25</f>
        <v>720000</v>
      </c>
      <c r="G22" s="135">
        <f>G23+G24+G25</f>
        <v>0</v>
      </c>
      <c r="H22" s="51">
        <f>H23+H24+H25</f>
        <v>720000</v>
      </c>
      <c r="I22" s="57"/>
      <c r="J22" s="437" t="s">
        <v>47</v>
      </c>
      <c r="K22" s="442" t="s">
        <v>26</v>
      </c>
      <c r="L22" s="442"/>
      <c r="M22" s="51">
        <f>SUM(M23:M25)</f>
        <v>77066723</v>
      </c>
      <c r="N22" s="51">
        <f>N23+N24+N25</f>
        <v>90532258</v>
      </c>
      <c r="O22" s="135">
        <f>O23+O24+O25</f>
        <v>14672000</v>
      </c>
      <c r="P22" s="58">
        <f>P23+P24+P25</f>
        <v>105204258</v>
      </c>
    </row>
    <row r="23" spans="1:18" s="49" customFormat="1" ht="18" customHeight="1" x14ac:dyDescent="0.2">
      <c r="A23" s="56"/>
      <c r="B23" s="433"/>
      <c r="C23" s="59" t="s">
        <v>1</v>
      </c>
      <c r="D23" s="60" t="s">
        <v>7</v>
      </c>
      <c r="E23" s="113">
        <v>720000</v>
      </c>
      <c r="F23" s="61">
        <v>720000</v>
      </c>
      <c r="G23" s="137">
        <v>0</v>
      </c>
      <c r="H23" s="62">
        <f t="shared" si="0"/>
        <v>720000</v>
      </c>
      <c r="I23" s="57"/>
      <c r="J23" s="438"/>
      <c r="K23" s="59" t="s">
        <v>1</v>
      </c>
      <c r="L23" s="60" t="s">
        <v>7</v>
      </c>
      <c r="M23" s="61">
        <v>77066723</v>
      </c>
      <c r="N23" s="61">
        <v>90532258</v>
      </c>
      <c r="O23" s="138">
        <f>-3000000-3328000+21000000</f>
        <v>14672000</v>
      </c>
      <c r="P23" s="62">
        <f>+O23+N23</f>
        <v>105204258</v>
      </c>
    </row>
    <row r="24" spans="1:18" s="49" customFormat="1" ht="18" customHeight="1" x14ac:dyDescent="0.2">
      <c r="A24" s="56"/>
      <c r="B24" s="433"/>
      <c r="C24" s="59" t="s">
        <v>2</v>
      </c>
      <c r="D24" s="60" t="s">
        <v>9</v>
      </c>
      <c r="E24" s="113">
        <v>0</v>
      </c>
      <c r="F24" s="61">
        <v>0</v>
      </c>
      <c r="G24" s="137">
        <v>0</v>
      </c>
      <c r="H24" s="62">
        <f t="shared" si="0"/>
        <v>0</v>
      </c>
      <c r="I24" s="57"/>
      <c r="J24" s="438"/>
      <c r="K24" s="59" t="s">
        <v>2</v>
      </c>
      <c r="L24" s="60" t="s">
        <v>9</v>
      </c>
      <c r="M24" s="61">
        <v>0</v>
      </c>
      <c r="N24" s="61">
        <v>0</v>
      </c>
      <c r="O24" s="138">
        <v>0</v>
      </c>
      <c r="P24" s="62">
        <f t="shared" ref="P24:P35" si="1">+O24+N24</f>
        <v>0</v>
      </c>
    </row>
    <row r="25" spans="1:18" s="49" customFormat="1" ht="18" customHeight="1" x14ac:dyDescent="0.2">
      <c r="A25" s="56"/>
      <c r="B25" s="434"/>
      <c r="C25" s="59" t="s">
        <v>4</v>
      </c>
      <c r="D25" s="60" t="s">
        <v>8</v>
      </c>
      <c r="E25" s="113">
        <v>0</v>
      </c>
      <c r="F25" s="61">
        <v>0</v>
      </c>
      <c r="G25" s="137">
        <v>0</v>
      </c>
      <c r="H25" s="62">
        <f t="shared" si="0"/>
        <v>0</v>
      </c>
      <c r="I25" s="57"/>
      <c r="J25" s="439"/>
      <c r="K25" s="59" t="s">
        <v>4</v>
      </c>
      <c r="L25" s="60" t="s">
        <v>8</v>
      </c>
      <c r="M25" s="61">
        <v>0</v>
      </c>
      <c r="N25" s="61">
        <v>0</v>
      </c>
      <c r="O25" s="138">
        <v>0</v>
      </c>
      <c r="P25" s="62">
        <f t="shared" si="1"/>
        <v>0</v>
      </c>
    </row>
    <row r="26" spans="1:18" s="49" customFormat="1" ht="18" customHeight="1" x14ac:dyDescent="0.2">
      <c r="A26" s="56"/>
      <c r="B26" s="432" t="s">
        <v>66</v>
      </c>
      <c r="C26" s="440" t="s">
        <v>41</v>
      </c>
      <c r="D26" s="441"/>
      <c r="E26" s="105">
        <f>E27+E28+E29</f>
        <v>0</v>
      </c>
      <c r="F26" s="51">
        <f>F27+F28+F29</f>
        <v>0</v>
      </c>
      <c r="G26" s="135">
        <f>G27+G28+G29</f>
        <v>0</v>
      </c>
      <c r="H26" s="51">
        <f>H27+H28+H29</f>
        <v>0</v>
      </c>
      <c r="I26" s="57"/>
      <c r="J26" s="437" t="s">
        <v>48</v>
      </c>
      <c r="K26" s="457" t="s">
        <v>6</v>
      </c>
      <c r="L26" s="457"/>
      <c r="M26" s="51">
        <f>SUM(M27:M29)</f>
        <v>0</v>
      </c>
      <c r="N26" s="51">
        <f>N27+N28+N29</f>
        <v>0</v>
      </c>
      <c r="O26" s="135">
        <f>O27+O28+O29</f>
        <v>0</v>
      </c>
      <c r="P26" s="58">
        <f>P27+P28+P29</f>
        <v>0</v>
      </c>
    </row>
    <row r="27" spans="1:18" s="49" customFormat="1" ht="18" customHeight="1" x14ac:dyDescent="0.2">
      <c r="A27" s="56"/>
      <c r="B27" s="433"/>
      <c r="C27" s="59" t="s">
        <v>1</v>
      </c>
      <c r="D27" s="60" t="s">
        <v>7</v>
      </c>
      <c r="E27" s="113">
        <v>0</v>
      </c>
      <c r="F27" s="61">
        <v>0</v>
      </c>
      <c r="G27" s="137">
        <v>0</v>
      </c>
      <c r="H27" s="62">
        <f>+G27+F27</f>
        <v>0</v>
      </c>
      <c r="I27" s="57"/>
      <c r="J27" s="438"/>
      <c r="K27" s="59" t="s">
        <v>1</v>
      </c>
      <c r="L27" s="60" t="s">
        <v>7</v>
      </c>
      <c r="M27" s="61">
        <v>0</v>
      </c>
      <c r="N27" s="61">
        <v>0</v>
      </c>
      <c r="O27" s="138">
        <v>0</v>
      </c>
      <c r="P27" s="62">
        <f t="shared" si="1"/>
        <v>0</v>
      </c>
    </row>
    <row r="28" spans="1:18" s="49" customFormat="1" ht="18" customHeight="1" x14ac:dyDescent="0.2">
      <c r="A28" s="56"/>
      <c r="B28" s="433"/>
      <c r="C28" s="59" t="s">
        <v>2</v>
      </c>
      <c r="D28" s="60" t="s">
        <v>9</v>
      </c>
      <c r="E28" s="113">
        <v>0</v>
      </c>
      <c r="F28" s="61">
        <v>0</v>
      </c>
      <c r="G28" s="137">
        <v>0</v>
      </c>
      <c r="H28" s="62">
        <f>+G28+F28</f>
        <v>0</v>
      </c>
      <c r="I28" s="57"/>
      <c r="J28" s="438"/>
      <c r="K28" s="59" t="s">
        <v>2</v>
      </c>
      <c r="L28" s="60" t="s">
        <v>9</v>
      </c>
      <c r="M28" s="61">
        <v>0</v>
      </c>
      <c r="N28" s="61">
        <v>0</v>
      </c>
      <c r="O28" s="138">
        <v>0</v>
      </c>
      <c r="P28" s="62">
        <f t="shared" si="1"/>
        <v>0</v>
      </c>
    </row>
    <row r="29" spans="1:18" s="49" customFormat="1" ht="18" customHeight="1" x14ac:dyDescent="0.2">
      <c r="A29" s="66"/>
      <c r="B29" s="434"/>
      <c r="C29" s="59" t="s">
        <v>4</v>
      </c>
      <c r="D29" s="60" t="s">
        <v>8</v>
      </c>
      <c r="E29" s="113">
        <v>0</v>
      </c>
      <c r="F29" s="61">
        <v>0</v>
      </c>
      <c r="G29" s="137">
        <v>0</v>
      </c>
      <c r="H29" s="62">
        <f>+G29+F29</f>
        <v>0</v>
      </c>
      <c r="I29" s="57"/>
      <c r="J29" s="439"/>
      <c r="K29" s="59" t="s">
        <v>4</v>
      </c>
      <c r="L29" s="60" t="s">
        <v>8</v>
      </c>
      <c r="M29" s="61">
        <v>0</v>
      </c>
      <c r="N29" s="61">
        <v>0</v>
      </c>
      <c r="O29" s="138">
        <v>0</v>
      </c>
      <c r="P29" s="62">
        <f t="shared" si="1"/>
        <v>0</v>
      </c>
    </row>
    <row r="30" spans="1:18" s="49" customFormat="1" ht="18" customHeight="1" x14ac:dyDescent="0.2">
      <c r="A30" s="458"/>
      <c r="B30" s="459"/>
      <c r="C30" s="459"/>
      <c r="D30" s="459"/>
      <c r="E30" s="459"/>
      <c r="F30" s="459"/>
      <c r="G30" s="459"/>
      <c r="H30" s="460"/>
      <c r="I30" s="57"/>
      <c r="J30" s="437" t="s">
        <v>49</v>
      </c>
      <c r="K30" s="442" t="s">
        <v>10</v>
      </c>
      <c r="L30" s="442"/>
      <c r="M30" s="51">
        <f>M31+M34+M35</f>
        <v>0</v>
      </c>
      <c r="N30" s="51">
        <f>N31+N34+N35</f>
        <v>0</v>
      </c>
      <c r="O30" s="135">
        <f>O31+O34+O35</f>
        <v>0</v>
      </c>
      <c r="P30" s="58">
        <f>P31+P34+P35</f>
        <v>0</v>
      </c>
    </row>
    <row r="31" spans="1:18" s="49" customFormat="1" ht="18" customHeight="1" x14ac:dyDescent="0.2">
      <c r="A31" s="461"/>
      <c r="B31" s="462"/>
      <c r="C31" s="462"/>
      <c r="D31" s="462"/>
      <c r="E31" s="462"/>
      <c r="F31" s="462"/>
      <c r="G31" s="462"/>
      <c r="H31" s="463"/>
      <c r="I31" s="57"/>
      <c r="J31" s="438"/>
      <c r="K31" s="59" t="s">
        <v>1</v>
      </c>
      <c r="L31" s="60" t="s">
        <v>7</v>
      </c>
      <c r="M31" s="61">
        <v>0</v>
      </c>
      <c r="N31" s="61">
        <v>0</v>
      </c>
      <c r="O31" s="138">
        <v>0</v>
      </c>
      <c r="P31" s="62">
        <f t="shared" si="1"/>
        <v>0</v>
      </c>
    </row>
    <row r="32" spans="1:18" s="49" customFormat="1" ht="18" customHeight="1" x14ac:dyDescent="0.2">
      <c r="A32" s="461"/>
      <c r="B32" s="462"/>
      <c r="C32" s="462"/>
      <c r="D32" s="462"/>
      <c r="E32" s="462"/>
      <c r="F32" s="462"/>
      <c r="G32" s="462"/>
      <c r="H32" s="463"/>
      <c r="I32" s="57"/>
      <c r="J32" s="438"/>
      <c r="K32" s="67" t="s">
        <v>79</v>
      </c>
      <c r="L32" s="68" t="s">
        <v>81</v>
      </c>
      <c r="M32" s="139">
        <v>0</v>
      </c>
      <c r="N32" s="139">
        <v>0</v>
      </c>
      <c r="O32" s="138">
        <v>0</v>
      </c>
      <c r="P32" s="62">
        <f t="shared" si="1"/>
        <v>0</v>
      </c>
      <c r="Q32" s="69"/>
      <c r="R32" s="69"/>
    </row>
    <row r="33" spans="1:16" s="49" customFormat="1" ht="18" customHeight="1" x14ac:dyDescent="0.2">
      <c r="A33" s="461"/>
      <c r="B33" s="462"/>
      <c r="C33" s="462"/>
      <c r="D33" s="462"/>
      <c r="E33" s="462"/>
      <c r="F33" s="462"/>
      <c r="G33" s="462"/>
      <c r="H33" s="463"/>
      <c r="I33" s="57"/>
      <c r="J33" s="438"/>
      <c r="K33" s="67" t="s">
        <v>80</v>
      </c>
      <c r="L33" s="68" t="s">
        <v>82</v>
      </c>
      <c r="M33" s="140">
        <v>0</v>
      </c>
      <c r="N33" s="140">
        <v>0</v>
      </c>
      <c r="O33" s="138">
        <v>0</v>
      </c>
      <c r="P33" s="62">
        <f t="shared" si="1"/>
        <v>0</v>
      </c>
    </row>
    <row r="34" spans="1:16" s="49" customFormat="1" ht="18" customHeight="1" x14ac:dyDescent="0.2">
      <c r="A34" s="461"/>
      <c r="B34" s="462"/>
      <c r="C34" s="462"/>
      <c r="D34" s="462"/>
      <c r="E34" s="462"/>
      <c r="F34" s="462"/>
      <c r="G34" s="462"/>
      <c r="H34" s="463"/>
      <c r="I34" s="57"/>
      <c r="J34" s="438"/>
      <c r="K34" s="59" t="s">
        <v>2</v>
      </c>
      <c r="L34" s="60" t="s">
        <v>9</v>
      </c>
      <c r="M34" s="141">
        <v>0</v>
      </c>
      <c r="N34" s="141">
        <v>0</v>
      </c>
      <c r="O34" s="138">
        <v>0</v>
      </c>
      <c r="P34" s="62">
        <f t="shared" si="1"/>
        <v>0</v>
      </c>
    </row>
    <row r="35" spans="1:16" s="49" customFormat="1" ht="18" customHeight="1" x14ac:dyDescent="0.2">
      <c r="A35" s="464"/>
      <c r="B35" s="465"/>
      <c r="C35" s="465"/>
      <c r="D35" s="465"/>
      <c r="E35" s="465"/>
      <c r="F35" s="465"/>
      <c r="G35" s="465"/>
      <c r="H35" s="466"/>
      <c r="I35" s="70"/>
      <c r="J35" s="439"/>
      <c r="K35" s="59" t="s">
        <v>4</v>
      </c>
      <c r="L35" s="60" t="s">
        <v>8</v>
      </c>
      <c r="M35" s="61">
        <v>0</v>
      </c>
      <c r="N35" s="61">
        <v>0</v>
      </c>
      <c r="O35" s="138">
        <v>0</v>
      </c>
      <c r="P35" s="62">
        <f t="shared" si="1"/>
        <v>0</v>
      </c>
    </row>
    <row r="36" spans="1:16" s="49" customFormat="1" ht="18" customHeight="1" x14ac:dyDescent="0.2">
      <c r="A36" s="71" t="s">
        <v>0</v>
      </c>
      <c r="B36" s="421" t="s">
        <v>19</v>
      </c>
      <c r="C36" s="422"/>
      <c r="D36" s="423"/>
      <c r="E36" s="72">
        <f>SUM(E37:E39)</f>
        <v>720000</v>
      </c>
      <c r="F36" s="72">
        <f>+F37+F38+F39</f>
        <v>34938660</v>
      </c>
      <c r="G36" s="72">
        <f>+G37+G38+G39</f>
        <v>0</v>
      </c>
      <c r="H36" s="72">
        <f>+H37+H38+H39</f>
        <v>34938660</v>
      </c>
      <c r="I36" s="73" t="s">
        <v>0</v>
      </c>
      <c r="J36" s="467" t="s">
        <v>14</v>
      </c>
      <c r="K36" s="468"/>
      <c r="L36" s="468"/>
      <c r="M36" s="74">
        <f>SUM(M37:M39)</f>
        <v>388658507</v>
      </c>
      <c r="N36" s="74">
        <f>+N37+N38+N39</f>
        <v>432246452</v>
      </c>
      <c r="O36" s="74">
        <f>+O37+O38+O39</f>
        <v>39826328</v>
      </c>
      <c r="P36" s="75">
        <f>+P37+P38+P39</f>
        <v>472072780</v>
      </c>
    </row>
    <row r="37" spans="1:16" s="49" customFormat="1" ht="18" customHeight="1" x14ac:dyDescent="0.2">
      <c r="A37" s="76"/>
      <c r="B37" s="469" t="s">
        <v>69</v>
      </c>
      <c r="C37" s="77" t="s">
        <v>1</v>
      </c>
      <c r="D37" s="78" t="s">
        <v>7</v>
      </c>
      <c r="E37" s="79">
        <f>E15+E19+E23+E27</f>
        <v>720000</v>
      </c>
      <c r="F37" s="79">
        <f t="shared" ref="F37:H39" si="2">+F27+F23+F19+F15</f>
        <v>34938660</v>
      </c>
      <c r="G37" s="79">
        <f t="shared" si="2"/>
        <v>0</v>
      </c>
      <c r="H37" s="79">
        <f t="shared" si="2"/>
        <v>34938660</v>
      </c>
      <c r="I37" s="429"/>
      <c r="J37" s="472" t="s">
        <v>68</v>
      </c>
      <c r="K37" s="77" t="s">
        <v>1</v>
      </c>
      <c r="L37" s="78" t="s">
        <v>7</v>
      </c>
      <c r="M37" s="79">
        <f>M15+M19+M23+M27+M31</f>
        <v>388658507</v>
      </c>
      <c r="N37" s="79">
        <f>+N31+N27+N23+N19+N15</f>
        <v>432246452</v>
      </c>
      <c r="O37" s="79">
        <f>+O31+O27+O23+O19+O15</f>
        <v>39826328</v>
      </c>
      <c r="P37" s="80">
        <f>+P31+P27+P23+P19+P15</f>
        <v>472072780</v>
      </c>
    </row>
    <row r="38" spans="1:16" s="49" customFormat="1" ht="18" customHeight="1" x14ac:dyDescent="0.2">
      <c r="A38" s="76"/>
      <c r="B38" s="470"/>
      <c r="C38" s="77" t="s">
        <v>2</v>
      </c>
      <c r="D38" s="78" t="s">
        <v>9</v>
      </c>
      <c r="E38" s="79">
        <v>0</v>
      </c>
      <c r="F38" s="79">
        <f t="shared" si="2"/>
        <v>0</v>
      </c>
      <c r="G38" s="79">
        <f t="shared" si="2"/>
        <v>0</v>
      </c>
      <c r="H38" s="79">
        <f t="shared" si="2"/>
        <v>0</v>
      </c>
      <c r="I38" s="429"/>
      <c r="J38" s="472"/>
      <c r="K38" s="77" t="s">
        <v>2</v>
      </c>
      <c r="L38" s="78" t="s">
        <v>9</v>
      </c>
      <c r="M38" s="79">
        <f>M16+M20+M24+M28+M34</f>
        <v>0</v>
      </c>
      <c r="N38" s="79">
        <f t="shared" ref="N38:P39" si="3">+N34+N28+N24+N20+N16</f>
        <v>0</v>
      </c>
      <c r="O38" s="79">
        <f t="shared" si="3"/>
        <v>0</v>
      </c>
      <c r="P38" s="80">
        <f t="shared" si="3"/>
        <v>0</v>
      </c>
    </row>
    <row r="39" spans="1:16" s="49" customFormat="1" ht="18" customHeight="1" x14ac:dyDescent="0.2">
      <c r="A39" s="81"/>
      <c r="B39" s="471"/>
      <c r="C39" s="77" t="s">
        <v>4</v>
      </c>
      <c r="D39" s="78" t="s">
        <v>8</v>
      </c>
      <c r="E39" s="79">
        <v>0</v>
      </c>
      <c r="F39" s="79">
        <f t="shared" si="2"/>
        <v>0</v>
      </c>
      <c r="G39" s="79">
        <f t="shared" si="2"/>
        <v>0</v>
      </c>
      <c r="H39" s="79">
        <f t="shared" si="2"/>
        <v>0</v>
      </c>
      <c r="I39" s="430"/>
      <c r="J39" s="472"/>
      <c r="K39" s="77" t="s">
        <v>4</v>
      </c>
      <c r="L39" s="78" t="s">
        <v>8</v>
      </c>
      <c r="M39" s="82">
        <f>M17+M21+M25+M29+M35</f>
        <v>0</v>
      </c>
      <c r="N39" s="82">
        <f t="shared" si="3"/>
        <v>0</v>
      </c>
      <c r="O39" s="82">
        <f t="shared" si="3"/>
        <v>0</v>
      </c>
      <c r="P39" s="90">
        <f t="shared" si="3"/>
        <v>0</v>
      </c>
    </row>
    <row r="40" spans="1:16" s="83" customFormat="1" ht="30.75" customHeight="1" thickBot="1" x14ac:dyDescent="0.25">
      <c r="A40" s="454" t="s">
        <v>83</v>
      </c>
      <c r="B40" s="455"/>
      <c r="C40" s="455"/>
      <c r="D40" s="456"/>
      <c r="E40" s="301">
        <f>M36-E36</f>
        <v>387938507</v>
      </c>
      <c r="F40" s="301">
        <f>N36-F36</f>
        <v>397307792</v>
      </c>
      <c r="G40" s="301">
        <f>O36-G36</f>
        <v>39826328</v>
      </c>
      <c r="H40" s="301">
        <f>P36-H36</f>
        <v>437134120</v>
      </c>
      <c r="I40" s="454" t="s">
        <v>84</v>
      </c>
      <c r="J40" s="455"/>
      <c r="K40" s="455"/>
      <c r="L40" s="456"/>
      <c r="M40" s="245"/>
      <c r="N40" s="247"/>
      <c r="O40" s="246"/>
      <c r="P40" s="248"/>
    </row>
    <row r="41" spans="1:16" s="49" customFormat="1" ht="18" customHeight="1" x14ac:dyDescent="0.2">
      <c r="A41" s="443" t="s">
        <v>40</v>
      </c>
      <c r="B41" s="444"/>
      <c r="C41" s="444"/>
      <c r="D41" s="444"/>
      <c r="E41" s="444"/>
      <c r="F41" s="444"/>
      <c r="G41" s="444"/>
      <c r="H41" s="444"/>
      <c r="I41" s="444"/>
      <c r="J41" s="444"/>
      <c r="K41" s="444"/>
      <c r="L41" s="444"/>
      <c r="M41" s="444"/>
      <c r="N41" s="444"/>
      <c r="O41" s="444"/>
      <c r="P41" s="445"/>
    </row>
    <row r="42" spans="1:16" s="49" customFormat="1" ht="18" customHeight="1" x14ac:dyDescent="0.2">
      <c r="A42" s="50" t="s">
        <v>3</v>
      </c>
      <c r="B42" s="446" t="s">
        <v>20</v>
      </c>
      <c r="C42" s="447"/>
      <c r="D42" s="448"/>
      <c r="E42" s="51">
        <v>0</v>
      </c>
      <c r="F42" s="51">
        <f>F43+F47+F51</f>
        <v>0</v>
      </c>
      <c r="G42" s="135">
        <f>G43+G47+G51</f>
        <v>0</v>
      </c>
      <c r="H42" s="51">
        <f>H43+H47+H51</f>
        <v>0</v>
      </c>
      <c r="I42" s="84" t="s">
        <v>3</v>
      </c>
      <c r="J42" s="449" t="s">
        <v>18</v>
      </c>
      <c r="K42" s="450"/>
      <c r="L42" s="451"/>
      <c r="M42" s="53">
        <f>M43+M47+M51</f>
        <v>635000</v>
      </c>
      <c r="N42" s="53">
        <f>N43+N47+N51</f>
        <v>2135000</v>
      </c>
      <c r="O42" s="136">
        <f>O43+O47+O51</f>
        <v>1728000</v>
      </c>
      <c r="P42" s="54">
        <f>P43+P47+P51</f>
        <v>3863000</v>
      </c>
    </row>
    <row r="43" spans="1:16" s="49" customFormat="1" ht="18" customHeight="1" x14ac:dyDescent="0.2">
      <c r="A43" s="56"/>
      <c r="B43" s="432" t="s">
        <v>62</v>
      </c>
      <c r="C43" s="452" t="s">
        <v>93</v>
      </c>
      <c r="D43" s="453"/>
      <c r="E43" s="51">
        <v>0</v>
      </c>
      <c r="F43" s="51">
        <f>F44+F45+F46</f>
        <v>0</v>
      </c>
      <c r="G43" s="135">
        <f>G44+G45+G46</f>
        <v>0</v>
      </c>
      <c r="H43" s="51">
        <f>H44+H45+H46</f>
        <v>0</v>
      </c>
      <c r="I43" s="57"/>
      <c r="J43" s="437" t="s">
        <v>51</v>
      </c>
      <c r="K43" s="440" t="s">
        <v>11</v>
      </c>
      <c r="L43" s="441"/>
      <c r="M43" s="51">
        <f>SUM(M44:M46)</f>
        <v>635000</v>
      </c>
      <c r="N43" s="51">
        <f>N44+N45+N46</f>
        <v>2135000</v>
      </c>
      <c r="O43" s="135">
        <f>O44+O45+O46</f>
        <v>1728000</v>
      </c>
      <c r="P43" s="58">
        <f>P44+P45+P46</f>
        <v>3863000</v>
      </c>
    </row>
    <row r="44" spans="1:16" s="49" customFormat="1" ht="18" customHeight="1" x14ac:dyDescent="0.2">
      <c r="A44" s="56"/>
      <c r="B44" s="433"/>
      <c r="C44" s="59" t="s">
        <v>1</v>
      </c>
      <c r="D44" s="60" t="s">
        <v>7</v>
      </c>
      <c r="E44" s="61">
        <v>0</v>
      </c>
      <c r="F44" s="61">
        <v>0</v>
      </c>
      <c r="G44" s="137">
        <v>0</v>
      </c>
      <c r="H44" s="62">
        <f>+G44+F44</f>
        <v>0</v>
      </c>
      <c r="I44" s="57"/>
      <c r="J44" s="438"/>
      <c r="K44" s="59" t="s">
        <v>1</v>
      </c>
      <c r="L44" s="60" t="s">
        <v>7</v>
      </c>
      <c r="M44" s="61">
        <v>635000</v>
      </c>
      <c r="N44" s="61">
        <v>2135000</v>
      </c>
      <c r="O44" s="138">
        <v>1728000</v>
      </c>
      <c r="P44" s="62">
        <f>+O44+N44</f>
        <v>3863000</v>
      </c>
    </row>
    <row r="45" spans="1:16" s="49" customFormat="1" ht="18" customHeight="1" x14ac:dyDescent="0.2">
      <c r="A45" s="56"/>
      <c r="B45" s="433"/>
      <c r="C45" s="59" t="s">
        <v>2</v>
      </c>
      <c r="D45" s="60" t="s">
        <v>9</v>
      </c>
      <c r="E45" s="61">
        <v>0</v>
      </c>
      <c r="F45" s="61">
        <v>0</v>
      </c>
      <c r="G45" s="137">
        <v>0</v>
      </c>
      <c r="H45" s="62">
        <f>+G45+F45</f>
        <v>0</v>
      </c>
      <c r="I45" s="57"/>
      <c r="J45" s="438"/>
      <c r="K45" s="59" t="s">
        <v>2</v>
      </c>
      <c r="L45" s="60" t="s">
        <v>9</v>
      </c>
      <c r="M45" s="61">
        <v>0</v>
      </c>
      <c r="N45" s="61">
        <v>0</v>
      </c>
      <c r="O45" s="138">
        <v>0</v>
      </c>
      <c r="P45" s="62">
        <f>+O45+N45</f>
        <v>0</v>
      </c>
    </row>
    <row r="46" spans="1:16" s="49" customFormat="1" ht="18" customHeight="1" x14ac:dyDescent="0.2">
      <c r="A46" s="56"/>
      <c r="B46" s="434"/>
      <c r="C46" s="59" t="s">
        <v>4</v>
      </c>
      <c r="D46" s="60" t="s">
        <v>8</v>
      </c>
      <c r="E46" s="61">
        <v>0</v>
      </c>
      <c r="F46" s="61">
        <v>0</v>
      </c>
      <c r="G46" s="137">
        <v>0</v>
      </c>
      <c r="H46" s="62">
        <f>+G46+F46</f>
        <v>0</v>
      </c>
      <c r="I46" s="57"/>
      <c r="J46" s="439"/>
      <c r="K46" s="59" t="s">
        <v>4</v>
      </c>
      <c r="L46" s="60" t="s">
        <v>8</v>
      </c>
      <c r="M46" s="61">
        <v>0</v>
      </c>
      <c r="N46" s="61">
        <v>0</v>
      </c>
      <c r="O46" s="138">
        <v>0</v>
      </c>
      <c r="P46" s="62">
        <f>+O46+N46</f>
        <v>0</v>
      </c>
    </row>
    <row r="47" spans="1:16" s="49" customFormat="1" ht="18" customHeight="1" x14ac:dyDescent="0.2">
      <c r="A47" s="56"/>
      <c r="B47" s="432" t="s">
        <v>65</v>
      </c>
      <c r="C47" s="435" t="s">
        <v>21</v>
      </c>
      <c r="D47" s="436"/>
      <c r="E47" s="51">
        <v>0</v>
      </c>
      <c r="F47" s="51">
        <f>F48+F49+F50</f>
        <v>0</v>
      </c>
      <c r="G47" s="135">
        <f>G48+G49+G50</f>
        <v>0</v>
      </c>
      <c r="H47" s="51">
        <f>H48+H49+H50</f>
        <v>0</v>
      </c>
      <c r="I47" s="57"/>
      <c r="J47" s="437" t="s">
        <v>52</v>
      </c>
      <c r="K47" s="435" t="s">
        <v>12</v>
      </c>
      <c r="L47" s="436"/>
      <c r="M47" s="51">
        <f>SUM(M48:M50)</f>
        <v>0</v>
      </c>
      <c r="N47" s="51">
        <f>N48+N49+N50</f>
        <v>0</v>
      </c>
      <c r="O47" s="135">
        <f>O48+O49+O50</f>
        <v>0</v>
      </c>
      <c r="P47" s="58">
        <f>P48+P49+P50</f>
        <v>0</v>
      </c>
    </row>
    <row r="48" spans="1:16" s="49" customFormat="1" ht="18" customHeight="1" x14ac:dyDescent="0.2">
      <c r="A48" s="56"/>
      <c r="B48" s="433"/>
      <c r="C48" s="59" t="s">
        <v>1</v>
      </c>
      <c r="D48" s="60" t="s">
        <v>7</v>
      </c>
      <c r="E48" s="61">
        <v>0</v>
      </c>
      <c r="F48" s="61">
        <v>0</v>
      </c>
      <c r="G48" s="137">
        <v>0</v>
      </c>
      <c r="H48" s="62">
        <f>+G48+F48</f>
        <v>0</v>
      </c>
      <c r="I48" s="57"/>
      <c r="J48" s="438"/>
      <c r="K48" s="59" t="s">
        <v>1</v>
      </c>
      <c r="L48" s="60" t="s">
        <v>7</v>
      </c>
      <c r="M48" s="61">
        <v>0</v>
      </c>
      <c r="N48" s="61">
        <v>0</v>
      </c>
      <c r="O48" s="138">
        <v>0</v>
      </c>
      <c r="P48" s="62">
        <f>+O48+N48</f>
        <v>0</v>
      </c>
    </row>
    <row r="49" spans="1:16" s="49" customFormat="1" ht="18" customHeight="1" x14ac:dyDescent="0.2">
      <c r="A49" s="56"/>
      <c r="B49" s="433"/>
      <c r="C49" s="59" t="s">
        <v>2</v>
      </c>
      <c r="D49" s="60" t="s">
        <v>9</v>
      </c>
      <c r="E49" s="61">
        <v>0</v>
      </c>
      <c r="F49" s="61">
        <v>0</v>
      </c>
      <c r="G49" s="137">
        <v>0</v>
      </c>
      <c r="H49" s="62">
        <f>+G49+F49</f>
        <v>0</v>
      </c>
      <c r="I49" s="57"/>
      <c r="J49" s="438"/>
      <c r="K49" s="59" t="s">
        <v>2</v>
      </c>
      <c r="L49" s="60" t="s">
        <v>9</v>
      </c>
      <c r="M49" s="61">
        <v>0</v>
      </c>
      <c r="N49" s="61">
        <v>0</v>
      </c>
      <c r="O49" s="138">
        <v>0</v>
      </c>
      <c r="P49" s="62">
        <f>+O49+N49</f>
        <v>0</v>
      </c>
    </row>
    <row r="50" spans="1:16" s="49" customFormat="1" ht="18" customHeight="1" x14ac:dyDescent="0.2">
      <c r="A50" s="56"/>
      <c r="B50" s="434"/>
      <c r="C50" s="59" t="s">
        <v>4</v>
      </c>
      <c r="D50" s="60" t="s">
        <v>8</v>
      </c>
      <c r="E50" s="61">
        <v>0</v>
      </c>
      <c r="F50" s="61">
        <v>0</v>
      </c>
      <c r="G50" s="137">
        <v>0</v>
      </c>
      <c r="H50" s="62">
        <f>+G50+F50</f>
        <v>0</v>
      </c>
      <c r="I50" s="57"/>
      <c r="J50" s="439"/>
      <c r="K50" s="59" t="s">
        <v>4</v>
      </c>
      <c r="L50" s="60" t="s">
        <v>8</v>
      </c>
      <c r="M50" s="61">
        <v>0</v>
      </c>
      <c r="N50" s="61">
        <v>0</v>
      </c>
      <c r="O50" s="138">
        <v>0</v>
      </c>
      <c r="P50" s="62">
        <f>+O50+N50</f>
        <v>0</v>
      </c>
    </row>
    <row r="51" spans="1:16" s="49" customFormat="1" ht="18" customHeight="1" x14ac:dyDescent="0.2">
      <c r="A51" s="56"/>
      <c r="B51" s="432" t="s">
        <v>67</v>
      </c>
      <c r="C51" s="440" t="s">
        <v>43</v>
      </c>
      <c r="D51" s="441"/>
      <c r="E51" s="51">
        <v>0</v>
      </c>
      <c r="F51" s="51">
        <f>F52+F53+F54</f>
        <v>0</v>
      </c>
      <c r="G51" s="135">
        <f>G52+G53+G54</f>
        <v>0</v>
      </c>
      <c r="H51" s="51">
        <f>H52+H53+H54</f>
        <v>0</v>
      </c>
      <c r="I51" s="57"/>
      <c r="J51" s="437" t="s">
        <v>53</v>
      </c>
      <c r="K51" s="442" t="s">
        <v>54</v>
      </c>
      <c r="L51" s="442"/>
      <c r="M51" s="51">
        <f>SUM(M52:M54)</f>
        <v>0</v>
      </c>
      <c r="N51" s="51">
        <f>N52+N53+N54</f>
        <v>0</v>
      </c>
      <c r="O51" s="135">
        <f>O52+O53+O54</f>
        <v>0</v>
      </c>
      <c r="P51" s="58">
        <f>P52+P53+P54</f>
        <v>0</v>
      </c>
    </row>
    <row r="52" spans="1:16" s="49" customFormat="1" ht="18" customHeight="1" x14ac:dyDescent="0.2">
      <c r="A52" s="56"/>
      <c r="B52" s="433"/>
      <c r="C52" s="59" t="s">
        <v>1</v>
      </c>
      <c r="D52" s="60" t="s">
        <v>7</v>
      </c>
      <c r="E52" s="61">
        <v>0</v>
      </c>
      <c r="F52" s="61">
        <v>0</v>
      </c>
      <c r="G52" s="137">
        <v>0</v>
      </c>
      <c r="H52" s="62">
        <f>+G52+F52</f>
        <v>0</v>
      </c>
      <c r="I52" s="57"/>
      <c r="J52" s="438"/>
      <c r="K52" s="59" t="s">
        <v>1</v>
      </c>
      <c r="L52" s="60" t="s">
        <v>7</v>
      </c>
      <c r="M52" s="61">
        <v>0</v>
      </c>
      <c r="N52" s="61">
        <v>0</v>
      </c>
      <c r="O52" s="138">
        <v>0</v>
      </c>
      <c r="P52" s="62">
        <f>+O52+N52</f>
        <v>0</v>
      </c>
    </row>
    <row r="53" spans="1:16" s="49" customFormat="1" ht="18" customHeight="1" x14ac:dyDescent="0.2">
      <c r="A53" s="56"/>
      <c r="B53" s="433"/>
      <c r="C53" s="59" t="s">
        <v>2</v>
      </c>
      <c r="D53" s="60" t="s">
        <v>9</v>
      </c>
      <c r="E53" s="61">
        <v>0</v>
      </c>
      <c r="F53" s="61">
        <v>0</v>
      </c>
      <c r="G53" s="137">
        <v>0</v>
      </c>
      <c r="H53" s="62">
        <f>+G53+F53</f>
        <v>0</v>
      </c>
      <c r="I53" s="57"/>
      <c r="J53" s="438"/>
      <c r="K53" s="59" t="s">
        <v>2</v>
      </c>
      <c r="L53" s="60" t="s">
        <v>9</v>
      </c>
      <c r="M53" s="61">
        <v>0</v>
      </c>
      <c r="N53" s="61">
        <v>0</v>
      </c>
      <c r="O53" s="138">
        <v>0</v>
      </c>
      <c r="P53" s="62">
        <f>+O53+N53</f>
        <v>0</v>
      </c>
    </row>
    <row r="54" spans="1:16" s="49" customFormat="1" ht="18" customHeight="1" x14ac:dyDescent="0.2">
      <c r="A54" s="66"/>
      <c r="B54" s="434"/>
      <c r="C54" s="59" t="s">
        <v>4</v>
      </c>
      <c r="D54" s="60" t="s">
        <v>8</v>
      </c>
      <c r="E54" s="61">
        <v>0</v>
      </c>
      <c r="F54" s="61">
        <v>0</v>
      </c>
      <c r="G54" s="137">
        <v>0</v>
      </c>
      <c r="H54" s="62">
        <f>+G54+F54</f>
        <v>0</v>
      </c>
      <c r="I54" s="70"/>
      <c r="J54" s="439"/>
      <c r="K54" s="59" t="s">
        <v>4</v>
      </c>
      <c r="L54" s="60" t="s">
        <v>8</v>
      </c>
      <c r="M54" s="61">
        <v>0</v>
      </c>
      <c r="N54" s="61">
        <v>0</v>
      </c>
      <c r="O54" s="138">
        <v>0</v>
      </c>
      <c r="P54" s="62">
        <f>+O54+N54</f>
        <v>0</v>
      </c>
    </row>
    <row r="55" spans="1:16" s="49" customFormat="1" ht="18" customHeight="1" x14ac:dyDescent="0.2">
      <c r="A55" s="85" t="s">
        <v>3</v>
      </c>
      <c r="B55" s="412" t="s">
        <v>22</v>
      </c>
      <c r="C55" s="413"/>
      <c r="D55" s="414"/>
      <c r="E55" s="74">
        <v>0</v>
      </c>
      <c r="F55" s="74">
        <f>F56+F57+F58</f>
        <v>0</v>
      </c>
      <c r="G55" s="74">
        <f>G56+G57+G58</f>
        <v>0</v>
      </c>
      <c r="H55" s="74">
        <f>H56+H57+H58</f>
        <v>0</v>
      </c>
      <c r="I55" s="86" t="s">
        <v>3</v>
      </c>
      <c r="J55" s="412" t="s">
        <v>15</v>
      </c>
      <c r="K55" s="413"/>
      <c r="L55" s="414"/>
      <c r="M55" s="74">
        <f>SUM(M56:M58)</f>
        <v>635000</v>
      </c>
      <c r="N55" s="74">
        <f>N56+N57+N58</f>
        <v>2135000</v>
      </c>
      <c r="O55" s="74">
        <f>O56+O57+O58</f>
        <v>1728000</v>
      </c>
      <c r="P55" s="75">
        <f>P56+P57+P58</f>
        <v>3863000</v>
      </c>
    </row>
    <row r="56" spans="1:16" s="49" customFormat="1" ht="18" customHeight="1" x14ac:dyDescent="0.2">
      <c r="A56" s="76"/>
      <c r="B56" s="415" t="s">
        <v>70</v>
      </c>
      <c r="C56" s="77" t="s">
        <v>1</v>
      </c>
      <c r="D56" s="78" t="s">
        <v>7</v>
      </c>
      <c r="E56" s="142">
        <v>0</v>
      </c>
      <c r="F56" s="142">
        <f t="shared" ref="F56:H58" si="4">F44+F48+F52</f>
        <v>0</v>
      </c>
      <c r="G56" s="79">
        <f t="shared" si="4"/>
        <v>0</v>
      </c>
      <c r="H56" s="79">
        <f t="shared" si="4"/>
        <v>0</v>
      </c>
      <c r="I56" s="87"/>
      <c r="J56" s="417" t="s">
        <v>55</v>
      </c>
      <c r="K56" s="77" t="s">
        <v>1</v>
      </c>
      <c r="L56" s="78" t="s">
        <v>7</v>
      </c>
      <c r="M56" s="79">
        <f>M44+M48+M52</f>
        <v>635000</v>
      </c>
      <c r="N56" s="79">
        <f t="shared" ref="N56:P58" si="5">N44+N48+N52</f>
        <v>2135000</v>
      </c>
      <c r="O56" s="79">
        <f t="shared" si="5"/>
        <v>1728000</v>
      </c>
      <c r="P56" s="80">
        <f t="shared" si="5"/>
        <v>3863000</v>
      </c>
    </row>
    <row r="57" spans="1:16" s="49" customFormat="1" ht="18" customHeight="1" x14ac:dyDescent="0.2">
      <c r="A57" s="76"/>
      <c r="B57" s="416"/>
      <c r="C57" s="77" t="s">
        <v>2</v>
      </c>
      <c r="D57" s="78" t="s">
        <v>9</v>
      </c>
      <c r="E57" s="142">
        <v>0</v>
      </c>
      <c r="F57" s="142">
        <f t="shared" si="4"/>
        <v>0</v>
      </c>
      <c r="G57" s="79">
        <f t="shared" si="4"/>
        <v>0</v>
      </c>
      <c r="H57" s="79">
        <f t="shared" si="4"/>
        <v>0</v>
      </c>
      <c r="I57" s="87"/>
      <c r="J57" s="417"/>
      <c r="K57" s="77" t="s">
        <v>2</v>
      </c>
      <c r="L57" s="78" t="s">
        <v>9</v>
      </c>
      <c r="M57" s="79">
        <f>M45+M49+M53</f>
        <v>0</v>
      </c>
      <c r="N57" s="79">
        <f t="shared" si="5"/>
        <v>0</v>
      </c>
      <c r="O57" s="79">
        <f t="shared" si="5"/>
        <v>0</v>
      </c>
      <c r="P57" s="80">
        <f t="shared" si="5"/>
        <v>0</v>
      </c>
    </row>
    <row r="58" spans="1:16" s="49" customFormat="1" ht="18" customHeight="1" x14ac:dyDescent="0.2">
      <c r="A58" s="76"/>
      <c r="B58" s="416"/>
      <c r="C58" s="88" t="s">
        <v>4</v>
      </c>
      <c r="D58" s="89" t="s">
        <v>8</v>
      </c>
      <c r="E58" s="79">
        <v>0</v>
      </c>
      <c r="F58" s="79">
        <f t="shared" si="4"/>
        <v>0</v>
      </c>
      <c r="G58" s="79">
        <f t="shared" si="4"/>
        <v>0</v>
      </c>
      <c r="H58" s="79">
        <f t="shared" si="4"/>
        <v>0</v>
      </c>
      <c r="I58" s="87"/>
      <c r="J58" s="418"/>
      <c r="K58" s="88" t="s">
        <v>4</v>
      </c>
      <c r="L58" s="89" t="s">
        <v>8</v>
      </c>
      <c r="M58" s="82">
        <f>M46+M50+M54</f>
        <v>0</v>
      </c>
      <c r="N58" s="82">
        <f t="shared" si="5"/>
        <v>0</v>
      </c>
      <c r="O58" s="82">
        <f t="shared" si="5"/>
        <v>0</v>
      </c>
      <c r="P58" s="90">
        <f t="shared" si="5"/>
        <v>0</v>
      </c>
    </row>
    <row r="59" spans="1:16" s="91" customFormat="1" ht="31.5" customHeight="1" thickBot="1" x14ac:dyDescent="0.25">
      <c r="A59" s="419" t="s">
        <v>85</v>
      </c>
      <c r="B59" s="420"/>
      <c r="C59" s="420"/>
      <c r="D59" s="420"/>
      <c r="E59" s="249">
        <f>M55-E55</f>
        <v>635000</v>
      </c>
      <c r="F59" s="249">
        <f>N55-F55</f>
        <v>2135000</v>
      </c>
      <c r="G59" s="249">
        <f>O55-G55</f>
        <v>1728000</v>
      </c>
      <c r="H59" s="249">
        <f>P55-H55</f>
        <v>3863000</v>
      </c>
      <c r="I59" s="419" t="s">
        <v>86</v>
      </c>
      <c r="J59" s="420"/>
      <c r="K59" s="420"/>
      <c r="L59" s="420"/>
      <c r="M59" s="250"/>
      <c r="N59" s="250"/>
      <c r="O59" s="251"/>
      <c r="P59" s="252"/>
    </row>
    <row r="60" spans="1:16" s="49" customFormat="1" ht="18" customHeight="1" x14ac:dyDescent="0.2">
      <c r="A60" s="71" t="s">
        <v>29</v>
      </c>
      <c r="B60" s="421" t="s">
        <v>30</v>
      </c>
      <c r="C60" s="422"/>
      <c r="D60" s="423"/>
      <c r="E60" s="92">
        <f>SUM(E61:E63)</f>
        <v>720000</v>
      </c>
      <c r="F60" s="92">
        <f>F61+F62+F63</f>
        <v>34938660</v>
      </c>
      <c r="G60" s="92">
        <f>G61+G62+G63</f>
        <v>0</v>
      </c>
      <c r="H60" s="92">
        <f>H61+H62+H63</f>
        <v>34938660</v>
      </c>
      <c r="I60" s="93" t="s">
        <v>29</v>
      </c>
      <c r="J60" s="424" t="s">
        <v>32</v>
      </c>
      <c r="K60" s="425"/>
      <c r="L60" s="425"/>
      <c r="M60" s="94">
        <f>SUM(M61:M63)</f>
        <v>389293507</v>
      </c>
      <c r="N60" s="94">
        <f>N61+N62+N63</f>
        <v>434381452</v>
      </c>
      <c r="O60" s="94">
        <f>O61+O62+O63</f>
        <v>41554328</v>
      </c>
      <c r="P60" s="95">
        <f>P61+P62+P63</f>
        <v>475935780</v>
      </c>
    </row>
    <row r="61" spans="1:16" s="49" customFormat="1" ht="18" customHeight="1" x14ac:dyDescent="0.2">
      <c r="A61" s="76"/>
      <c r="B61" s="426" t="s">
        <v>72</v>
      </c>
      <c r="C61" s="77" t="s">
        <v>1</v>
      </c>
      <c r="D61" s="78" t="s">
        <v>7</v>
      </c>
      <c r="E61" s="82">
        <f t="shared" ref="E61:H63" si="6">E37+E56</f>
        <v>720000</v>
      </c>
      <c r="F61" s="82">
        <f t="shared" si="6"/>
        <v>34938660</v>
      </c>
      <c r="G61" s="82">
        <f t="shared" si="6"/>
        <v>0</v>
      </c>
      <c r="H61" s="82">
        <f t="shared" si="6"/>
        <v>34938660</v>
      </c>
      <c r="I61" s="429"/>
      <c r="J61" s="431" t="s">
        <v>71</v>
      </c>
      <c r="K61" s="77" t="s">
        <v>1</v>
      </c>
      <c r="L61" s="78" t="s">
        <v>7</v>
      </c>
      <c r="M61" s="82">
        <f>M37+M56</f>
        <v>389293507</v>
      </c>
      <c r="N61" s="82">
        <f>N37+N56</f>
        <v>434381452</v>
      </c>
      <c r="O61" s="82">
        <f t="shared" ref="N61:P63" si="7">O37+O56</f>
        <v>41554328</v>
      </c>
      <c r="P61" s="90">
        <f t="shared" si="7"/>
        <v>475935780</v>
      </c>
    </row>
    <row r="62" spans="1:16" s="49" customFormat="1" ht="18" customHeight="1" x14ac:dyDescent="0.2">
      <c r="A62" s="76"/>
      <c r="B62" s="427"/>
      <c r="C62" s="77" t="s">
        <v>2</v>
      </c>
      <c r="D62" s="78" t="s">
        <v>9</v>
      </c>
      <c r="E62" s="82">
        <f t="shared" si="6"/>
        <v>0</v>
      </c>
      <c r="F62" s="82">
        <f t="shared" si="6"/>
        <v>0</v>
      </c>
      <c r="G62" s="82">
        <f t="shared" si="6"/>
        <v>0</v>
      </c>
      <c r="H62" s="82">
        <f t="shared" si="6"/>
        <v>0</v>
      </c>
      <c r="I62" s="429"/>
      <c r="J62" s="431"/>
      <c r="K62" s="77" t="s">
        <v>2</v>
      </c>
      <c r="L62" s="78" t="s">
        <v>9</v>
      </c>
      <c r="M62" s="82">
        <f>M38+M57</f>
        <v>0</v>
      </c>
      <c r="N62" s="82">
        <f t="shared" si="7"/>
        <v>0</v>
      </c>
      <c r="O62" s="82">
        <f t="shared" si="7"/>
        <v>0</v>
      </c>
      <c r="P62" s="90">
        <f t="shared" si="7"/>
        <v>0</v>
      </c>
    </row>
    <row r="63" spans="1:16" s="49" customFormat="1" ht="18" customHeight="1" x14ac:dyDescent="0.2">
      <c r="A63" s="81"/>
      <c r="B63" s="428"/>
      <c r="C63" s="77" t="s">
        <v>4</v>
      </c>
      <c r="D63" s="78" t="s">
        <v>8</v>
      </c>
      <c r="E63" s="79">
        <f t="shared" si="6"/>
        <v>0</v>
      </c>
      <c r="F63" s="79">
        <f>F39+F58</f>
        <v>0</v>
      </c>
      <c r="G63" s="79">
        <f t="shared" si="6"/>
        <v>0</v>
      </c>
      <c r="H63" s="79">
        <f t="shared" si="6"/>
        <v>0</v>
      </c>
      <c r="I63" s="430"/>
      <c r="J63" s="431"/>
      <c r="K63" s="77" t="s">
        <v>4</v>
      </c>
      <c r="L63" s="78" t="s">
        <v>8</v>
      </c>
      <c r="M63" s="79">
        <f>M39+M58</f>
        <v>0</v>
      </c>
      <c r="N63" s="79">
        <f t="shared" si="7"/>
        <v>0</v>
      </c>
      <c r="O63" s="79">
        <f t="shared" si="7"/>
        <v>0</v>
      </c>
      <c r="P63" s="80">
        <f t="shared" si="7"/>
        <v>0</v>
      </c>
    </row>
    <row r="64" spans="1:16" s="96" customFormat="1" ht="30" customHeight="1" thickBot="1" x14ac:dyDescent="0.25">
      <c r="A64" s="409" t="s">
        <v>59</v>
      </c>
      <c r="B64" s="410"/>
      <c r="C64" s="410"/>
      <c r="D64" s="411"/>
      <c r="E64" s="249">
        <f>M60-E60</f>
        <v>388573507</v>
      </c>
      <c r="F64" s="249">
        <f>N60-F60</f>
        <v>399442792</v>
      </c>
      <c r="G64" s="249">
        <f>O60-G60</f>
        <v>41554328</v>
      </c>
      <c r="H64" s="249">
        <f>P60-H60</f>
        <v>440997120</v>
      </c>
      <c r="I64" s="409" t="s">
        <v>60</v>
      </c>
      <c r="J64" s="410"/>
      <c r="K64" s="410"/>
      <c r="L64" s="411"/>
      <c r="M64" s="207"/>
      <c r="N64" s="207"/>
      <c r="O64" s="302"/>
      <c r="P64" s="254"/>
    </row>
    <row r="65" spans="1:16" s="49" customFormat="1" ht="18" customHeight="1" x14ac:dyDescent="0.2">
      <c r="A65" s="97" t="s">
        <v>33</v>
      </c>
      <c r="B65" s="576" t="s">
        <v>31</v>
      </c>
      <c r="C65" s="577"/>
      <c r="D65" s="578"/>
      <c r="E65" s="98">
        <f>SUM(E66:E67)</f>
        <v>388573507</v>
      </c>
      <c r="F65" s="98">
        <f>F66+F67</f>
        <v>399442792</v>
      </c>
      <c r="G65" s="98">
        <f>G66+G67</f>
        <v>41554328</v>
      </c>
      <c r="H65" s="98">
        <f>H66+H67</f>
        <v>440997120</v>
      </c>
      <c r="I65" s="99" t="s">
        <v>33</v>
      </c>
      <c r="J65" s="401" t="s">
        <v>44</v>
      </c>
      <c r="K65" s="402"/>
      <c r="L65" s="403"/>
      <c r="M65" s="100">
        <v>0</v>
      </c>
      <c r="N65" s="100">
        <f>N66+N67</f>
        <v>0</v>
      </c>
      <c r="O65" s="100">
        <f>O66+O67</f>
        <v>0</v>
      </c>
      <c r="P65" s="101">
        <f>P66+P67</f>
        <v>0</v>
      </c>
    </row>
    <row r="66" spans="1:16" s="49" customFormat="1" ht="18" customHeight="1" x14ac:dyDescent="0.2">
      <c r="A66" s="102"/>
      <c r="B66" s="404" t="s">
        <v>61</v>
      </c>
      <c r="C66" s="59" t="s">
        <v>1</v>
      </c>
      <c r="D66" s="60" t="s">
        <v>73</v>
      </c>
      <c r="E66" s="61">
        <v>0</v>
      </c>
      <c r="F66" s="61">
        <v>19485535</v>
      </c>
      <c r="G66" s="137">
        <v>0</v>
      </c>
      <c r="H66" s="62">
        <f>+G66+F66</f>
        <v>19485535</v>
      </c>
      <c r="I66" s="102"/>
      <c r="J66" s="404" t="s">
        <v>56</v>
      </c>
      <c r="K66" s="59" t="s">
        <v>1</v>
      </c>
      <c r="L66" s="60"/>
      <c r="M66" s="61"/>
      <c r="N66" s="61"/>
      <c r="O66" s="143"/>
      <c r="P66" s="62"/>
    </row>
    <row r="67" spans="1:16" s="49" customFormat="1" ht="18" customHeight="1" x14ac:dyDescent="0.2">
      <c r="A67" s="102"/>
      <c r="B67" s="405"/>
      <c r="C67" s="59" t="s">
        <v>2</v>
      </c>
      <c r="D67" s="60" t="s">
        <v>76</v>
      </c>
      <c r="E67" s="61">
        <v>388573507</v>
      </c>
      <c r="F67" s="61">
        <v>379957257</v>
      </c>
      <c r="G67" s="137">
        <f>1385488+21000000+3923689+6539068+8706083</f>
        <v>41554328</v>
      </c>
      <c r="H67" s="62">
        <f>+G67+F67</f>
        <v>421511585</v>
      </c>
      <c r="I67" s="102"/>
      <c r="J67" s="405"/>
      <c r="K67" s="59" t="s">
        <v>2</v>
      </c>
      <c r="L67" s="60"/>
      <c r="M67" s="61"/>
      <c r="N67" s="61"/>
      <c r="O67" s="143"/>
      <c r="P67" s="62"/>
    </row>
    <row r="68" spans="1:16" s="103" customFormat="1" ht="18" customHeight="1" x14ac:dyDescent="0.2">
      <c r="A68" s="255" t="s">
        <v>34</v>
      </c>
      <c r="B68" s="406" t="s">
        <v>90</v>
      </c>
      <c r="C68" s="407"/>
      <c r="D68" s="408"/>
      <c r="E68" s="256">
        <f>E69+E70+E71</f>
        <v>389293507</v>
      </c>
      <c r="F68" s="256">
        <f>F69+F70+F71</f>
        <v>434381452</v>
      </c>
      <c r="G68" s="256">
        <f>G69+G70+G71</f>
        <v>41554328</v>
      </c>
      <c r="H68" s="256">
        <f>H69+H70+H71</f>
        <v>475935780</v>
      </c>
      <c r="I68" s="257" t="s">
        <v>34</v>
      </c>
      <c r="J68" s="406" t="s">
        <v>91</v>
      </c>
      <c r="K68" s="407"/>
      <c r="L68" s="408"/>
      <c r="M68" s="256">
        <f>SUM(M69:M71)</f>
        <v>389293507</v>
      </c>
      <c r="N68" s="256">
        <f>N69+N70+N71</f>
        <v>434381452</v>
      </c>
      <c r="O68" s="256">
        <f>O69+O70+O71</f>
        <v>41554328</v>
      </c>
      <c r="P68" s="258">
        <f>P69+P70+P71</f>
        <v>475935780</v>
      </c>
    </row>
    <row r="69" spans="1:16" s="103" customFormat="1" ht="18" customHeight="1" x14ac:dyDescent="0.2">
      <c r="A69" s="259"/>
      <c r="B69" s="397" t="s">
        <v>58</v>
      </c>
      <c r="C69" s="260" t="s">
        <v>1</v>
      </c>
      <c r="D69" s="261" t="s">
        <v>7</v>
      </c>
      <c r="E69" s="262">
        <f>E61+E66+E67</f>
        <v>389293507</v>
      </c>
      <c r="F69" s="262">
        <f>F61+F66+F67</f>
        <v>434381452</v>
      </c>
      <c r="G69" s="262">
        <f>G61+G66+G67</f>
        <v>41554328</v>
      </c>
      <c r="H69" s="262">
        <f>H61+H66+H67</f>
        <v>475935780</v>
      </c>
      <c r="I69" s="263"/>
      <c r="J69" s="397" t="s">
        <v>57</v>
      </c>
      <c r="K69" s="260" t="s">
        <v>1</v>
      </c>
      <c r="L69" s="261" t="s">
        <v>7</v>
      </c>
      <c r="M69" s="262">
        <f>M61</f>
        <v>389293507</v>
      </c>
      <c r="N69" s="262">
        <f>N61+N66+N67</f>
        <v>434381452</v>
      </c>
      <c r="O69" s="262">
        <f>O61+O66+O67</f>
        <v>41554328</v>
      </c>
      <c r="P69" s="264">
        <f>P61+P66+P67</f>
        <v>475935780</v>
      </c>
    </row>
    <row r="70" spans="1:16" s="103" customFormat="1" ht="18" customHeight="1" x14ac:dyDescent="0.2">
      <c r="A70" s="259"/>
      <c r="B70" s="398"/>
      <c r="C70" s="260" t="s">
        <v>2</v>
      </c>
      <c r="D70" s="261" t="s">
        <v>9</v>
      </c>
      <c r="E70" s="262">
        <v>0</v>
      </c>
      <c r="F70" s="262">
        <f t="shared" ref="F70:H71" si="8">F62</f>
        <v>0</v>
      </c>
      <c r="G70" s="262">
        <f t="shared" si="8"/>
        <v>0</v>
      </c>
      <c r="H70" s="262">
        <f t="shared" si="8"/>
        <v>0</v>
      </c>
      <c r="I70" s="263"/>
      <c r="J70" s="398"/>
      <c r="K70" s="260" t="s">
        <v>2</v>
      </c>
      <c r="L70" s="261" t="s">
        <v>9</v>
      </c>
      <c r="M70" s="262">
        <v>0</v>
      </c>
      <c r="N70" s="262">
        <f t="shared" ref="N70:P71" si="9">N62</f>
        <v>0</v>
      </c>
      <c r="O70" s="262">
        <f t="shared" si="9"/>
        <v>0</v>
      </c>
      <c r="P70" s="264">
        <f t="shared" si="9"/>
        <v>0</v>
      </c>
    </row>
    <row r="71" spans="1:16" s="103" customFormat="1" ht="18" customHeight="1" thickBot="1" x14ac:dyDescent="0.25">
      <c r="A71" s="265"/>
      <c r="B71" s="399"/>
      <c r="C71" s="266" t="s">
        <v>4</v>
      </c>
      <c r="D71" s="267" t="s">
        <v>8</v>
      </c>
      <c r="E71" s="268">
        <v>0</v>
      </c>
      <c r="F71" s="268">
        <f t="shared" si="8"/>
        <v>0</v>
      </c>
      <c r="G71" s="268">
        <f t="shared" si="8"/>
        <v>0</v>
      </c>
      <c r="H71" s="268">
        <f t="shared" si="8"/>
        <v>0</v>
      </c>
      <c r="I71" s="269"/>
      <c r="J71" s="399"/>
      <c r="K71" s="266" t="s">
        <v>4</v>
      </c>
      <c r="L71" s="267" t="s">
        <v>8</v>
      </c>
      <c r="M71" s="268">
        <v>0</v>
      </c>
      <c r="N71" s="268">
        <f t="shared" si="9"/>
        <v>0</v>
      </c>
      <c r="O71" s="268">
        <f t="shared" si="9"/>
        <v>0</v>
      </c>
      <c r="P71" s="270">
        <f t="shared" si="9"/>
        <v>0</v>
      </c>
    </row>
    <row r="74" spans="1:16" x14ac:dyDescent="0.2">
      <c r="A74" s="400"/>
      <c r="B74" s="400"/>
      <c r="C74" s="400"/>
      <c r="D74" s="400"/>
      <c r="E74" s="400"/>
      <c r="F74" s="400"/>
      <c r="G74" s="43"/>
      <c r="H74" s="43"/>
    </row>
  </sheetData>
  <sheetProtection formatCells="0"/>
  <mergeCells count="78">
    <mergeCell ref="A7:P7"/>
    <mergeCell ref="K1:P1"/>
    <mergeCell ref="K2:P2"/>
    <mergeCell ref="A4:P4"/>
    <mergeCell ref="A5:P5"/>
    <mergeCell ref="A6:P6"/>
    <mergeCell ref="A8:P8"/>
    <mergeCell ref="D9:L9"/>
    <mergeCell ref="A10:F10"/>
    <mergeCell ref="I10:P10"/>
    <mergeCell ref="C11:D11"/>
    <mergeCell ref="K11:L11"/>
    <mergeCell ref="A12:P12"/>
    <mergeCell ref="B13:D13"/>
    <mergeCell ref="J13:L13"/>
    <mergeCell ref="B14:B17"/>
    <mergeCell ref="C14:D14"/>
    <mergeCell ref="J14:J17"/>
    <mergeCell ref="K14:L14"/>
    <mergeCell ref="B18:B21"/>
    <mergeCell ref="C18:D18"/>
    <mergeCell ref="J18:J21"/>
    <mergeCell ref="K18:L18"/>
    <mergeCell ref="B22:B25"/>
    <mergeCell ref="C22:D22"/>
    <mergeCell ref="J22:J25"/>
    <mergeCell ref="K22:L22"/>
    <mergeCell ref="A40:D40"/>
    <mergeCell ref="I40:L40"/>
    <mergeCell ref="B26:B29"/>
    <mergeCell ref="C26:D26"/>
    <mergeCell ref="J26:J29"/>
    <mergeCell ref="K26:L26"/>
    <mergeCell ref="A30:H35"/>
    <mergeCell ref="J30:J35"/>
    <mergeCell ref="K30:L30"/>
    <mergeCell ref="B36:D36"/>
    <mergeCell ref="J36:L36"/>
    <mergeCell ref="B37:B39"/>
    <mergeCell ref="I37:I39"/>
    <mergeCell ref="J37:J39"/>
    <mergeCell ref="A41:P41"/>
    <mergeCell ref="B42:D42"/>
    <mergeCell ref="J42:L42"/>
    <mergeCell ref="B43:B46"/>
    <mergeCell ref="C43:D43"/>
    <mergeCell ref="J43:J46"/>
    <mergeCell ref="K43:L43"/>
    <mergeCell ref="B47:B50"/>
    <mergeCell ref="C47:D47"/>
    <mergeCell ref="J47:J50"/>
    <mergeCell ref="K47:L47"/>
    <mergeCell ref="B51:B54"/>
    <mergeCell ref="C51:D51"/>
    <mergeCell ref="J51:J54"/>
    <mergeCell ref="K51:L51"/>
    <mergeCell ref="A64:D64"/>
    <mergeCell ref="I64:L64"/>
    <mergeCell ref="B55:D55"/>
    <mergeCell ref="J55:L55"/>
    <mergeCell ref="B56:B58"/>
    <mergeCell ref="J56:J58"/>
    <mergeCell ref="A59:D59"/>
    <mergeCell ref="I59:L59"/>
    <mergeCell ref="B60:D60"/>
    <mergeCell ref="J60:L60"/>
    <mergeCell ref="B61:B63"/>
    <mergeCell ref="I61:I63"/>
    <mergeCell ref="J61:J63"/>
    <mergeCell ref="B69:B71"/>
    <mergeCell ref="J69:J71"/>
    <mergeCell ref="A74:F74"/>
    <mergeCell ref="B65:D65"/>
    <mergeCell ref="J65:L65"/>
    <mergeCell ref="B66:B67"/>
    <mergeCell ref="J66:J67"/>
    <mergeCell ref="B68:D68"/>
    <mergeCell ref="J68:L68"/>
  </mergeCells>
  <printOptions horizontalCentered="1"/>
  <pageMargins left="0.19685039370078741" right="0.19685039370078741" top="3.937007874015748E-2" bottom="0" header="0.43307086614173229" footer="0.51181102362204722"/>
  <pageSetup paperSize="9" scale="62" orientation="landscape" horizontalDpi="300" verticalDpi="300" r:id="rId1"/>
  <headerFooter alignWithMargins="0"/>
  <rowBreaks count="1" manualBreakCount="1">
    <brk id="4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DB698-BBC4-44D3-906A-73A977724386}">
  <sheetPr>
    <tabColor rgb="FF92D050"/>
  </sheetPr>
  <dimension ref="A1:O38"/>
  <sheetViews>
    <sheetView topLeftCell="A13" zoomScaleNormal="100" workbookViewId="0">
      <selection activeCell="N25" sqref="N25"/>
    </sheetView>
  </sheetViews>
  <sheetFormatPr defaultColWidth="9.140625" defaultRowHeight="15.75" x14ac:dyDescent="0.25"/>
  <cols>
    <col min="1" max="1" width="4.5703125" style="159" customWidth="1"/>
    <col min="2" max="2" width="31.7109375" style="159" customWidth="1"/>
    <col min="3" max="3" width="29.140625" style="159" customWidth="1"/>
    <col min="4" max="4" width="8" style="159" customWidth="1"/>
    <col min="5" max="5" width="12.7109375" style="159" customWidth="1"/>
    <col min="6" max="6" width="12.140625" style="159" customWidth="1"/>
    <col min="7" max="7" width="12.7109375" style="159" customWidth="1"/>
    <col min="8" max="8" width="14.7109375" style="159" customWidth="1"/>
    <col min="9" max="9" width="14.28515625" style="159" customWidth="1"/>
    <col min="10" max="10" width="12.7109375" style="159" customWidth="1"/>
    <col min="11" max="11" width="14.7109375" style="159" customWidth="1"/>
    <col min="12" max="12" width="11.28515625" style="159" customWidth="1"/>
    <col min="13" max="13" width="10.140625" style="159" bestFit="1" customWidth="1"/>
    <col min="14" max="14" width="11" style="159" bestFit="1" customWidth="1"/>
    <col min="15" max="16384" width="9.140625" style="159"/>
  </cols>
  <sheetData>
    <row r="1" spans="1:13" x14ac:dyDescent="0.25">
      <c r="F1" s="485" t="s">
        <v>181</v>
      </c>
      <c r="G1" s="485"/>
      <c r="H1" s="485"/>
      <c r="I1" s="485"/>
      <c r="J1" s="485"/>
      <c r="K1" s="485"/>
      <c r="L1" s="485"/>
      <c r="M1" s="30"/>
    </row>
    <row r="2" spans="1:13" x14ac:dyDescent="0.25">
      <c r="A2" s="144"/>
      <c r="B2" s="144"/>
      <c r="C2" s="144"/>
      <c r="D2" s="144"/>
      <c r="E2" s="210"/>
      <c r="F2" s="485" t="s">
        <v>195</v>
      </c>
      <c r="G2" s="485"/>
      <c r="H2" s="485"/>
      <c r="I2" s="485"/>
      <c r="J2" s="485"/>
      <c r="K2" s="485"/>
      <c r="L2" s="485"/>
    </row>
    <row r="3" spans="1:13" x14ac:dyDescent="0.25">
      <c r="A3" s="144"/>
      <c r="B3" s="144"/>
      <c r="C3" s="144"/>
      <c r="D3" s="144"/>
      <c r="E3" s="210"/>
      <c r="F3" s="31"/>
      <c r="G3" s="31"/>
      <c r="H3" s="31"/>
      <c r="I3" s="31"/>
      <c r="J3" s="31"/>
      <c r="K3" s="31"/>
      <c r="L3" s="31"/>
    </row>
    <row r="4" spans="1:13" x14ac:dyDescent="0.25">
      <c r="A4" s="476" t="s">
        <v>187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</row>
    <row r="5" spans="1:13" x14ac:dyDescent="0.25">
      <c r="A5" s="601" t="s">
        <v>168</v>
      </c>
      <c r="B5" s="601"/>
      <c r="C5" s="601"/>
      <c r="D5" s="601"/>
      <c r="E5" s="601"/>
      <c r="F5" s="601"/>
      <c r="G5" s="601"/>
      <c r="H5" s="601"/>
      <c r="I5" s="601"/>
      <c r="J5" s="601"/>
      <c r="K5" s="601"/>
      <c r="L5" s="601"/>
    </row>
    <row r="6" spans="1:13" s="3" customFormat="1" x14ac:dyDescent="0.25">
      <c r="A6" s="476" t="s">
        <v>188</v>
      </c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76"/>
      <c r="M6" s="211"/>
    </row>
    <row r="7" spans="1:13" s="3" customFormat="1" x14ac:dyDescent="0.25">
      <c r="A7" s="476" t="s">
        <v>189</v>
      </c>
      <c r="B7" s="476"/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211"/>
    </row>
    <row r="8" spans="1:13" ht="16.5" thickBot="1" x14ac:dyDescent="0.3">
      <c r="A8" s="212"/>
      <c r="B8" s="212"/>
      <c r="C8" s="212"/>
      <c r="D8" s="212"/>
      <c r="F8" s="3"/>
      <c r="G8" s="3"/>
      <c r="H8" s="3"/>
      <c r="I8" s="3"/>
      <c r="J8" s="145"/>
      <c r="K8" s="581" t="s">
        <v>95</v>
      </c>
      <c r="L8" s="581"/>
    </row>
    <row r="9" spans="1:13" x14ac:dyDescent="0.25">
      <c r="A9" s="582" t="s">
        <v>96</v>
      </c>
      <c r="B9" s="585" t="s">
        <v>126</v>
      </c>
      <c r="C9" s="585"/>
      <c r="D9" s="585"/>
      <c r="E9" s="586" t="s">
        <v>169</v>
      </c>
      <c r="F9" s="586"/>
      <c r="G9" s="586"/>
      <c r="H9" s="586"/>
      <c r="I9" s="586" t="s">
        <v>170</v>
      </c>
      <c r="J9" s="586"/>
      <c r="K9" s="586"/>
      <c r="L9" s="587" t="s">
        <v>167</v>
      </c>
    </row>
    <row r="10" spans="1:13" ht="31.5" x14ac:dyDescent="0.25">
      <c r="A10" s="583"/>
      <c r="B10" s="590" t="s">
        <v>128</v>
      </c>
      <c r="C10" s="590" t="s">
        <v>129</v>
      </c>
      <c r="D10" s="592" t="s">
        <v>130</v>
      </c>
      <c r="E10" s="213" t="s">
        <v>171</v>
      </c>
      <c r="F10" s="213" t="s">
        <v>172</v>
      </c>
      <c r="G10" s="214" t="s">
        <v>173</v>
      </c>
      <c r="H10" s="213" t="s">
        <v>138</v>
      </c>
      <c r="I10" s="594" t="s">
        <v>174</v>
      </c>
      <c r="J10" s="594" t="s">
        <v>172</v>
      </c>
      <c r="K10" s="594" t="s">
        <v>138</v>
      </c>
      <c r="L10" s="588"/>
    </row>
    <row r="11" spans="1:13" ht="16.5" thickBot="1" x14ac:dyDescent="0.3">
      <c r="A11" s="584"/>
      <c r="B11" s="591"/>
      <c r="C11" s="591"/>
      <c r="D11" s="593"/>
      <c r="E11" s="595" t="s">
        <v>175</v>
      </c>
      <c r="F11" s="595"/>
      <c r="G11" s="595"/>
      <c r="H11" s="595"/>
      <c r="I11" s="595"/>
      <c r="J11" s="595"/>
      <c r="K11" s="595"/>
      <c r="L11" s="589"/>
    </row>
    <row r="12" spans="1:13" ht="17.100000000000001" customHeight="1" x14ac:dyDescent="0.25">
      <c r="A12" s="596" t="s">
        <v>196</v>
      </c>
      <c r="B12" s="597"/>
      <c r="C12" s="597"/>
      <c r="D12" s="597"/>
      <c r="E12" s="597"/>
      <c r="F12" s="597"/>
      <c r="G12" s="597"/>
      <c r="H12" s="597"/>
      <c r="I12" s="597"/>
      <c r="J12" s="597"/>
      <c r="K12" s="597"/>
      <c r="L12" s="598"/>
    </row>
    <row r="13" spans="1:13" s="222" customFormat="1" ht="17.100000000000001" customHeight="1" x14ac:dyDescent="0.25">
      <c r="A13" s="216" t="s">
        <v>1</v>
      </c>
      <c r="B13" s="217" t="s">
        <v>141</v>
      </c>
      <c r="C13" s="217" t="s">
        <v>142</v>
      </c>
      <c r="D13" s="218">
        <v>0.95</v>
      </c>
      <c r="E13" s="219">
        <f>1794875+5939655</f>
        <v>7734530</v>
      </c>
      <c r="F13" s="219">
        <v>0</v>
      </c>
      <c r="G13" s="219">
        <v>211162</v>
      </c>
      <c r="H13" s="219">
        <f t="shared" ref="H13:H16" si="0">SUM(E13:G13)</f>
        <v>7945692</v>
      </c>
      <c r="I13" s="219">
        <v>2111617</v>
      </c>
      <c r="J13" s="219">
        <v>0</v>
      </c>
      <c r="K13" s="219">
        <f t="shared" ref="K13:K33" si="1">SUM(I13:J13)</f>
        <v>2111617</v>
      </c>
      <c r="L13" s="220">
        <v>105580</v>
      </c>
      <c r="M13" s="221"/>
    </row>
    <row r="14" spans="1:13" s="222" customFormat="1" ht="17.100000000000001" customHeight="1" x14ac:dyDescent="0.25">
      <c r="A14" s="216" t="s">
        <v>2</v>
      </c>
      <c r="B14" s="310" t="s">
        <v>143</v>
      </c>
      <c r="C14" s="310" t="s">
        <v>144</v>
      </c>
      <c r="D14" s="218">
        <v>0.95</v>
      </c>
      <c r="E14" s="219">
        <f>2425093+4650313</f>
        <v>7075406</v>
      </c>
      <c r="F14" s="219">
        <v>0</v>
      </c>
      <c r="G14" s="219">
        <v>285305</v>
      </c>
      <c r="H14" s="219">
        <f t="shared" si="0"/>
        <v>7360711</v>
      </c>
      <c r="I14" s="219">
        <v>2853051</v>
      </c>
      <c r="J14" s="219">
        <v>0</v>
      </c>
      <c r="K14" s="219">
        <f t="shared" si="1"/>
        <v>2853051</v>
      </c>
      <c r="L14" s="220">
        <v>142653</v>
      </c>
      <c r="M14" s="221"/>
    </row>
    <row r="15" spans="1:13" s="225" customFormat="1" ht="17.100000000000001" customHeight="1" x14ac:dyDescent="0.25">
      <c r="A15" s="216" t="s">
        <v>4</v>
      </c>
      <c r="B15" s="217" t="s">
        <v>197</v>
      </c>
      <c r="C15" s="217" t="s">
        <v>198</v>
      </c>
      <c r="D15" s="218">
        <v>0.95</v>
      </c>
      <c r="E15" s="223">
        <v>17544267</v>
      </c>
      <c r="F15" s="219">
        <v>304000</v>
      </c>
      <c r="G15" s="223">
        <v>0</v>
      </c>
      <c r="H15" s="223">
        <f t="shared" si="0"/>
        <v>17848267</v>
      </c>
      <c r="I15" s="223">
        <v>18407649</v>
      </c>
      <c r="J15" s="219">
        <v>380000</v>
      </c>
      <c r="K15" s="223">
        <f t="shared" si="1"/>
        <v>18787649</v>
      </c>
      <c r="L15" s="224">
        <f>K15-H15</f>
        <v>939382</v>
      </c>
    </row>
    <row r="16" spans="1:13" s="222" customFormat="1" ht="17.100000000000001" customHeight="1" x14ac:dyDescent="0.25">
      <c r="A16" s="216" t="s">
        <v>101</v>
      </c>
      <c r="B16" s="217" t="s">
        <v>199</v>
      </c>
      <c r="C16" s="217" t="s">
        <v>200</v>
      </c>
      <c r="D16" s="218">
        <v>0.95</v>
      </c>
      <c r="E16" s="219">
        <v>18076690</v>
      </c>
      <c r="F16" s="219">
        <v>0</v>
      </c>
      <c r="G16" s="219">
        <v>0</v>
      </c>
      <c r="H16" s="219">
        <f t="shared" si="0"/>
        <v>18076690</v>
      </c>
      <c r="I16" s="219">
        <v>19028094</v>
      </c>
      <c r="J16" s="219">
        <v>0</v>
      </c>
      <c r="K16" s="219">
        <f t="shared" si="1"/>
        <v>19028094</v>
      </c>
      <c r="L16" s="220">
        <f t="shared" ref="L16:L21" si="2">K16-H16</f>
        <v>951404</v>
      </c>
    </row>
    <row r="17" spans="1:15" s="222" customFormat="1" ht="17.100000000000001" customHeight="1" x14ac:dyDescent="0.25">
      <c r="A17" s="216" t="s">
        <v>102</v>
      </c>
      <c r="B17" s="217" t="s">
        <v>201</v>
      </c>
      <c r="C17" s="217" t="s">
        <v>202</v>
      </c>
      <c r="D17" s="218">
        <v>0.95</v>
      </c>
      <c r="E17" s="219">
        <v>19186162</v>
      </c>
      <c r="F17" s="219">
        <v>0</v>
      </c>
      <c r="G17" s="219">
        <v>0</v>
      </c>
      <c r="H17" s="219">
        <f t="shared" ref="H17:H33" si="3">SUM(E17:G17)</f>
        <v>19186162</v>
      </c>
      <c r="I17" s="219">
        <v>20195960</v>
      </c>
      <c r="J17" s="219">
        <v>0</v>
      </c>
      <c r="K17" s="219">
        <f t="shared" si="1"/>
        <v>20195960</v>
      </c>
      <c r="L17" s="220">
        <f t="shared" si="2"/>
        <v>1009798</v>
      </c>
    </row>
    <row r="18" spans="1:15" s="222" customFormat="1" ht="17.100000000000001" customHeight="1" x14ac:dyDescent="0.25">
      <c r="A18" s="216" t="s">
        <v>103</v>
      </c>
      <c r="B18" s="217" t="s">
        <v>203</v>
      </c>
      <c r="C18" s="217" t="s">
        <v>204</v>
      </c>
      <c r="D18" s="218">
        <v>0.95</v>
      </c>
      <c r="E18" s="219">
        <v>16224418</v>
      </c>
      <c r="F18" s="219">
        <v>0</v>
      </c>
      <c r="G18" s="219">
        <v>0</v>
      </c>
      <c r="H18" s="219">
        <f t="shared" si="3"/>
        <v>16224418</v>
      </c>
      <c r="I18" s="219">
        <v>17078335</v>
      </c>
      <c r="J18" s="219">
        <v>0</v>
      </c>
      <c r="K18" s="219">
        <f t="shared" si="1"/>
        <v>17078335</v>
      </c>
      <c r="L18" s="220">
        <f t="shared" si="2"/>
        <v>853917</v>
      </c>
    </row>
    <row r="19" spans="1:15" s="222" customFormat="1" ht="17.100000000000001" customHeight="1" x14ac:dyDescent="0.25">
      <c r="A19" s="216" t="s">
        <v>105</v>
      </c>
      <c r="B19" s="228" t="s">
        <v>205</v>
      </c>
      <c r="C19" s="217" t="s">
        <v>206</v>
      </c>
      <c r="D19" s="218">
        <v>0.95</v>
      </c>
      <c r="E19" s="219">
        <v>20715791</v>
      </c>
      <c r="F19" s="219">
        <v>1360000</v>
      </c>
      <c r="G19" s="219">
        <v>0</v>
      </c>
      <c r="H19" s="219">
        <f t="shared" si="3"/>
        <v>22075791</v>
      </c>
      <c r="I19" s="219">
        <v>21537675</v>
      </c>
      <c r="J19" s="219">
        <v>1700000</v>
      </c>
      <c r="K19" s="219">
        <f t="shared" si="1"/>
        <v>23237675</v>
      </c>
      <c r="L19" s="220">
        <f t="shared" si="2"/>
        <v>1161884</v>
      </c>
    </row>
    <row r="20" spans="1:15" s="225" customFormat="1" ht="17.100000000000001" customHeight="1" x14ac:dyDescent="0.25">
      <c r="A20" s="216" t="s">
        <v>106</v>
      </c>
      <c r="B20" s="217" t="s">
        <v>145</v>
      </c>
      <c r="C20" s="217">
        <v>101035163</v>
      </c>
      <c r="D20" s="218">
        <v>0.65</v>
      </c>
      <c r="E20" s="219">
        <v>12600000</v>
      </c>
      <c r="F20" s="219">
        <v>1000000</v>
      </c>
      <c r="G20" s="219">
        <v>0</v>
      </c>
      <c r="H20" s="219">
        <f t="shared" si="3"/>
        <v>13600000</v>
      </c>
      <c r="I20" s="219">
        <v>16928352</v>
      </c>
      <c r="J20" s="219">
        <v>1000000</v>
      </c>
      <c r="K20" s="219">
        <f t="shared" si="1"/>
        <v>17928352</v>
      </c>
      <c r="L20" s="220">
        <f t="shared" si="2"/>
        <v>4328352</v>
      </c>
      <c r="M20" s="311"/>
    </row>
    <row r="21" spans="1:15" s="222" customFormat="1" ht="17.100000000000001" customHeight="1" x14ac:dyDescent="0.25">
      <c r="A21" s="216" t="s">
        <v>107</v>
      </c>
      <c r="B21" s="164" t="s">
        <v>176</v>
      </c>
      <c r="C21" s="164">
        <v>101074095</v>
      </c>
      <c r="D21" s="226">
        <v>0.9</v>
      </c>
      <c r="E21" s="219">
        <v>4682893</v>
      </c>
      <c r="F21" s="219">
        <v>0</v>
      </c>
      <c r="G21" s="219">
        <v>4398182</v>
      </c>
      <c r="H21" s="219">
        <f t="shared" si="3"/>
        <v>9081075</v>
      </c>
      <c r="I21" s="219">
        <v>10090083</v>
      </c>
      <c r="J21" s="219">
        <v>0</v>
      </c>
      <c r="K21" s="219">
        <f t="shared" si="1"/>
        <v>10090083</v>
      </c>
      <c r="L21" s="220">
        <f t="shared" si="2"/>
        <v>1009008</v>
      </c>
    </row>
    <row r="22" spans="1:15" s="222" customFormat="1" ht="17.100000000000001" customHeight="1" x14ac:dyDescent="0.25">
      <c r="A22" s="216" t="s">
        <v>108</v>
      </c>
      <c r="B22" s="228" t="s">
        <v>146</v>
      </c>
      <c r="C22" s="312" t="s">
        <v>147</v>
      </c>
      <c r="D22" s="218">
        <v>1</v>
      </c>
      <c r="E22" s="219">
        <v>0</v>
      </c>
      <c r="F22" s="219">
        <v>0</v>
      </c>
      <c r="G22" s="219">
        <v>0</v>
      </c>
      <c r="H22" s="219">
        <f t="shared" si="3"/>
        <v>0</v>
      </c>
      <c r="I22" s="219">
        <v>0</v>
      </c>
      <c r="J22" s="219">
        <v>0</v>
      </c>
      <c r="K22" s="219">
        <f t="shared" si="1"/>
        <v>0</v>
      </c>
      <c r="L22" s="220">
        <v>0</v>
      </c>
    </row>
    <row r="23" spans="1:15" s="225" customFormat="1" ht="17.100000000000001" customHeight="1" x14ac:dyDescent="0.25">
      <c r="A23" s="216" t="s">
        <v>109</v>
      </c>
      <c r="B23" s="228" t="s">
        <v>148</v>
      </c>
      <c r="C23" s="229" t="s">
        <v>149</v>
      </c>
      <c r="D23" s="218">
        <v>1</v>
      </c>
      <c r="E23" s="219">
        <v>0</v>
      </c>
      <c r="F23" s="219">
        <v>0</v>
      </c>
      <c r="G23" s="219">
        <v>41321847</v>
      </c>
      <c r="H23" s="219">
        <f t="shared" si="3"/>
        <v>41321847</v>
      </c>
      <c r="I23" s="219">
        <f>25326177-2190750</f>
        <v>23135427</v>
      </c>
      <c r="J23" s="219">
        <f>15995670+2190750</f>
        <v>18186420</v>
      </c>
      <c r="K23" s="219">
        <f t="shared" si="1"/>
        <v>41321847</v>
      </c>
      <c r="L23" s="220">
        <v>0</v>
      </c>
    </row>
    <row r="24" spans="1:15" ht="17.100000000000001" customHeight="1" x14ac:dyDescent="0.25">
      <c r="A24" s="216" t="s">
        <v>110</v>
      </c>
      <c r="B24" s="313" t="s">
        <v>150</v>
      </c>
      <c r="C24" s="312" t="s">
        <v>151</v>
      </c>
      <c r="D24" s="226">
        <v>1</v>
      </c>
      <c r="E24" s="219">
        <v>460293191</v>
      </c>
      <c r="F24" s="219">
        <v>0</v>
      </c>
      <c r="G24" s="219">
        <v>160072642</v>
      </c>
      <c r="H24" s="219">
        <f t="shared" si="3"/>
        <v>620365833</v>
      </c>
      <c r="I24" s="219">
        <v>568323749</v>
      </c>
      <c r="J24" s="219">
        <v>52042084</v>
      </c>
      <c r="K24" s="219">
        <f t="shared" si="1"/>
        <v>620365833</v>
      </c>
      <c r="L24" s="220">
        <v>0</v>
      </c>
    </row>
    <row r="25" spans="1:15" ht="17.100000000000001" customHeight="1" x14ac:dyDescent="0.25">
      <c r="A25" s="216" t="s">
        <v>111</v>
      </c>
      <c r="B25" s="313" t="s">
        <v>152</v>
      </c>
      <c r="C25" s="312" t="s">
        <v>153</v>
      </c>
      <c r="D25" s="226">
        <v>1</v>
      </c>
      <c r="E25" s="219">
        <v>36576000</v>
      </c>
      <c r="F25" s="219">
        <v>0</v>
      </c>
      <c r="G25" s="219">
        <v>46831173</v>
      </c>
      <c r="H25" s="219">
        <f t="shared" si="3"/>
        <v>83407173</v>
      </c>
      <c r="I25" s="219">
        <f>20265023-423750-1728000</f>
        <v>18113273</v>
      </c>
      <c r="J25" s="219">
        <f>63142150+423750+1728000</f>
        <v>65293900</v>
      </c>
      <c r="K25" s="219">
        <f t="shared" si="1"/>
        <v>83407173</v>
      </c>
      <c r="L25" s="220">
        <v>0</v>
      </c>
      <c r="M25" s="160"/>
      <c r="O25" s="160"/>
    </row>
    <row r="26" spans="1:15" ht="17.100000000000001" customHeight="1" x14ac:dyDescent="0.25">
      <c r="A26" s="216" t="s">
        <v>112</v>
      </c>
      <c r="B26" s="228" t="s">
        <v>177</v>
      </c>
      <c r="C26" s="306" t="s">
        <v>178</v>
      </c>
      <c r="D26" s="226">
        <v>1</v>
      </c>
      <c r="E26" s="219">
        <v>0</v>
      </c>
      <c r="F26" s="219">
        <v>0</v>
      </c>
      <c r="G26" s="219">
        <v>132800557</v>
      </c>
      <c r="H26" s="219">
        <f t="shared" si="3"/>
        <v>132800557</v>
      </c>
      <c r="I26" s="219">
        <v>105317335</v>
      </c>
      <c r="J26" s="219">
        <v>27483222</v>
      </c>
      <c r="K26" s="219">
        <f t="shared" si="1"/>
        <v>132800557</v>
      </c>
      <c r="L26" s="220">
        <v>0</v>
      </c>
      <c r="M26" s="160"/>
      <c r="O26" s="160"/>
    </row>
    <row r="27" spans="1:15" ht="17.100000000000001" customHeight="1" x14ac:dyDescent="0.25">
      <c r="A27" s="216" t="s">
        <v>114</v>
      </c>
      <c r="B27" s="313" t="s">
        <v>179</v>
      </c>
      <c r="C27" s="227" t="s">
        <v>180</v>
      </c>
      <c r="D27" s="226">
        <v>1</v>
      </c>
      <c r="E27" s="219">
        <v>0</v>
      </c>
      <c r="F27" s="219">
        <v>0</v>
      </c>
      <c r="G27" s="219">
        <v>74996893</v>
      </c>
      <c r="H27" s="219">
        <f t="shared" si="3"/>
        <v>74996893</v>
      </c>
      <c r="I27" s="219">
        <v>48766293</v>
      </c>
      <c r="J27" s="219">
        <v>26230600</v>
      </c>
      <c r="K27" s="219">
        <f t="shared" si="1"/>
        <v>74996893</v>
      </c>
      <c r="L27" s="220">
        <v>0</v>
      </c>
    </row>
    <row r="28" spans="1:15" ht="17.100000000000001" customHeight="1" x14ac:dyDescent="0.25">
      <c r="A28" s="216" t="s">
        <v>116</v>
      </c>
      <c r="B28" s="228" t="s">
        <v>154</v>
      </c>
      <c r="C28" s="229" t="s">
        <v>155</v>
      </c>
      <c r="D28" s="218">
        <v>1</v>
      </c>
      <c r="E28" s="219">
        <v>0</v>
      </c>
      <c r="F28" s="219">
        <v>0</v>
      </c>
      <c r="G28" s="219">
        <v>216635</v>
      </c>
      <c r="H28" s="219">
        <f t="shared" si="3"/>
        <v>216635</v>
      </c>
      <c r="I28" s="219">
        <v>216635</v>
      </c>
      <c r="J28" s="219">
        <v>0</v>
      </c>
      <c r="K28" s="219">
        <f t="shared" si="1"/>
        <v>216635</v>
      </c>
      <c r="L28" s="220">
        <v>0</v>
      </c>
      <c r="M28" s="160"/>
    </row>
    <row r="29" spans="1:15" ht="17.100000000000001" customHeight="1" x14ac:dyDescent="0.25">
      <c r="A29" s="216" t="s">
        <v>120</v>
      </c>
      <c r="B29" s="228" t="s">
        <v>156</v>
      </c>
      <c r="C29" s="229" t="s">
        <v>157</v>
      </c>
      <c r="D29" s="218">
        <v>1</v>
      </c>
      <c r="E29" s="219">
        <v>0</v>
      </c>
      <c r="F29" s="219">
        <v>0</v>
      </c>
      <c r="G29" s="219">
        <v>246112</v>
      </c>
      <c r="H29" s="219">
        <f t="shared" si="3"/>
        <v>246112</v>
      </c>
      <c r="I29" s="219">
        <f>246112+19099</f>
        <v>265211</v>
      </c>
      <c r="J29" s="219">
        <v>0</v>
      </c>
      <c r="K29" s="219">
        <f t="shared" si="1"/>
        <v>265211</v>
      </c>
      <c r="L29" s="220">
        <v>0</v>
      </c>
      <c r="M29" s="160"/>
    </row>
    <row r="30" spans="1:15" ht="17.100000000000001" customHeight="1" x14ac:dyDescent="0.25">
      <c r="A30" s="216" t="s">
        <v>121</v>
      </c>
      <c r="B30" s="228" t="s">
        <v>158</v>
      </c>
      <c r="C30" s="229" t="s">
        <v>159</v>
      </c>
      <c r="D30" s="218">
        <v>1</v>
      </c>
      <c r="E30" s="219">
        <v>0</v>
      </c>
      <c r="F30" s="219">
        <v>0</v>
      </c>
      <c r="G30" s="314">
        <v>101369</v>
      </c>
      <c r="H30" s="163">
        <f t="shared" si="3"/>
        <v>101369</v>
      </c>
      <c r="I30" s="223">
        <v>101369</v>
      </c>
      <c r="J30" s="219">
        <v>0</v>
      </c>
      <c r="K30" s="163">
        <f t="shared" si="1"/>
        <v>101369</v>
      </c>
      <c r="L30" s="220">
        <v>0</v>
      </c>
      <c r="M30" s="160"/>
    </row>
    <row r="31" spans="1:15" ht="17.100000000000001" customHeight="1" x14ac:dyDescent="0.25">
      <c r="A31" s="216" t="s">
        <v>122</v>
      </c>
      <c r="B31" s="228" t="s">
        <v>160</v>
      </c>
      <c r="C31" s="229" t="s">
        <v>161</v>
      </c>
      <c r="D31" s="218">
        <v>1</v>
      </c>
      <c r="E31" s="223">
        <v>0</v>
      </c>
      <c r="F31" s="219">
        <v>0</v>
      </c>
      <c r="G31" s="314">
        <v>1065981</v>
      </c>
      <c r="H31" s="163">
        <f t="shared" si="3"/>
        <v>1065981</v>
      </c>
      <c r="I31" s="219">
        <v>1065981</v>
      </c>
      <c r="J31" s="714">
        <v>0</v>
      </c>
      <c r="K31" s="163">
        <f t="shared" si="1"/>
        <v>1065981</v>
      </c>
      <c r="L31" s="220">
        <v>0</v>
      </c>
      <c r="M31" s="160"/>
    </row>
    <row r="32" spans="1:15" ht="17.100000000000001" customHeight="1" x14ac:dyDescent="0.25">
      <c r="A32" s="216" t="s">
        <v>123</v>
      </c>
      <c r="B32" s="228" t="s">
        <v>162</v>
      </c>
      <c r="C32" s="229" t="s">
        <v>163</v>
      </c>
      <c r="D32" s="218">
        <v>1</v>
      </c>
      <c r="E32" s="223">
        <v>0</v>
      </c>
      <c r="F32" s="219">
        <v>0</v>
      </c>
      <c r="G32" s="314">
        <f>506676+175200</f>
        <v>681876</v>
      </c>
      <c r="H32" s="163">
        <f t="shared" si="3"/>
        <v>681876</v>
      </c>
      <c r="I32" s="223">
        <f>506676+175200</f>
        <v>681876</v>
      </c>
      <c r="J32" s="219">
        <v>0</v>
      </c>
      <c r="K32" s="163">
        <f t="shared" si="1"/>
        <v>681876</v>
      </c>
      <c r="L32" s="220">
        <v>0</v>
      </c>
      <c r="M32" s="160"/>
    </row>
    <row r="33" spans="1:13" ht="17.100000000000001" customHeight="1" x14ac:dyDescent="0.25">
      <c r="A33" s="216" t="s">
        <v>124</v>
      </c>
      <c r="B33" s="228" t="s">
        <v>164</v>
      </c>
      <c r="C33" s="315" t="s">
        <v>165</v>
      </c>
      <c r="D33" s="218">
        <v>1</v>
      </c>
      <c r="E33" s="219">
        <v>0</v>
      </c>
      <c r="F33" s="162">
        <v>0</v>
      </c>
      <c r="G33" s="314">
        <v>242816</v>
      </c>
      <c r="H33" s="163">
        <f t="shared" si="3"/>
        <v>242816</v>
      </c>
      <c r="I33" s="219">
        <f>242816+75200</f>
        <v>318016</v>
      </c>
      <c r="J33" s="714">
        <v>0</v>
      </c>
      <c r="K33" s="163">
        <f t="shared" si="1"/>
        <v>318016</v>
      </c>
      <c r="L33" s="220">
        <v>0</v>
      </c>
      <c r="M33" s="160"/>
    </row>
    <row r="34" spans="1:13" ht="17.100000000000001" customHeight="1" thickBot="1" x14ac:dyDescent="0.3">
      <c r="A34" s="602" t="s">
        <v>207</v>
      </c>
      <c r="B34" s="603"/>
      <c r="C34" s="603"/>
      <c r="D34" s="603"/>
      <c r="E34" s="230">
        <f t="shared" ref="E34:L34" si="4">SUM(E13:E33)</f>
        <v>620709348</v>
      </c>
      <c r="F34" s="230">
        <f t="shared" si="4"/>
        <v>2664000</v>
      </c>
      <c r="G34" s="230">
        <f t="shared" si="4"/>
        <v>463472550</v>
      </c>
      <c r="H34" s="230">
        <f t="shared" si="4"/>
        <v>1086845898</v>
      </c>
      <c r="I34" s="230">
        <f t="shared" si="4"/>
        <v>894535981</v>
      </c>
      <c r="J34" s="230">
        <f t="shared" si="4"/>
        <v>192316226</v>
      </c>
      <c r="K34" s="230">
        <f t="shared" si="4"/>
        <v>1086852207</v>
      </c>
      <c r="L34" s="231">
        <f t="shared" si="4"/>
        <v>10501978</v>
      </c>
    </row>
    <row r="35" spans="1:13" ht="17.100000000000001" customHeight="1" x14ac:dyDescent="0.25">
      <c r="A35" s="604" t="s">
        <v>208</v>
      </c>
      <c r="B35" s="605"/>
      <c r="C35" s="605"/>
      <c r="D35" s="605"/>
      <c r="E35" s="605"/>
      <c r="F35" s="605"/>
      <c r="G35" s="605"/>
      <c r="H35" s="605"/>
      <c r="I35" s="605"/>
      <c r="J35" s="605"/>
      <c r="K35" s="605"/>
      <c r="L35" s="606"/>
    </row>
    <row r="36" spans="1:13" ht="17.100000000000001" customHeight="1" x14ac:dyDescent="0.25">
      <c r="A36" s="161" t="s">
        <v>1</v>
      </c>
      <c r="B36" s="227" t="s">
        <v>146</v>
      </c>
      <c r="C36" s="307" t="s">
        <v>147</v>
      </c>
      <c r="D36" s="226">
        <v>1</v>
      </c>
      <c r="E36" s="195">
        <v>33900000</v>
      </c>
      <c r="F36" s="195">
        <v>0</v>
      </c>
      <c r="G36" s="195">
        <v>0</v>
      </c>
      <c r="H36" s="195">
        <f>E36+F36+G36</f>
        <v>33900000</v>
      </c>
      <c r="I36" s="195">
        <v>22503023</v>
      </c>
      <c r="J36" s="195">
        <v>0</v>
      </c>
      <c r="K36" s="195">
        <f>I36+J36</f>
        <v>22503023</v>
      </c>
      <c r="L36" s="208">
        <v>0</v>
      </c>
    </row>
    <row r="37" spans="1:13" ht="17.100000000000001" customHeight="1" thickBot="1" x14ac:dyDescent="0.3">
      <c r="A37" s="599" t="s">
        <v>209</v>
      </c>
      <c r="B37" s="600"/>
      <c r="C37" s="600"/>
      <c r="D37" s="600"/>
      <c r="E37" s="232">
        <f>SUM(E36)</f>
        <v>33900000</v>
      </c>
      <c r="F37" s="232">
        <f t="shared" ref="F37:L37" si="5">SUM(F36)</f>
        <v>0</v>
      </c>
      <c r="G37" s="232">
        <f t="shared" si="5"/>
        <v>0</v>
      </c>
      <c r="H37" s="232">
        <f t="shared" si="5"/>
        <v>33900000</v>
      </c>
      <c r="I37" s="232">
        <f t="shared" si="5"/>
        <v>22503023</v>
      </c>
      <c r="J37" s="232">
        <f t="shared" si="5"/>
        <v>0</v>
      </c>
      <c r="K37" s="232">
        <f t="shared" si="5"/>
        <v>22503023</v>
      </c>
      <c r="L37" s="233">
        <f t="shared" si="5"/>
        <v>0</v>
      </c>
    </row>
    <row r="38" spans="1:13" ht="17.100000000000001" customHeight="1" thickBot="1" x14ac:dyDescent="0.3">
      <c r="A38" s="579" t="s">
        <v>166</v>
      </c>
      <c r="B38" s="580"/>
      <c r="C38" s="580"/>
      <c r="D38" s="580"/>
      <c r="E38" s="316">
        <f>E34+E37</f>
        <v>654609348</v>
      </c>
      <c r="F38" s="316">
        <f t="shared" ref="F38" si="6">F34+F37</f>
        <v>2664000</v>
      </c>
      <c r="G38" s="316">
        <f>G34+G37</f>
        <v>463472550</v>
      </c>
      <c r="H38" s="316">
        <f t="shared" ref="H38" si="7">H34+H37</f>
        <v>1120745898</v>
      </c>
      <c r="I38" s="316">
        <f>I34+I37</f>
        <v>917039004</v>
      </c>
      <c r="J38" s="316">
        <f t="shared" ref="J38:L38" si="8">J34+J37</f>
        <v>192316226</v>
      </c>
      <c r="K38" s="316">
        <f>K34+K37</f>
        <v>1109355230</v>
      </c>
      <c r="L38" s="317">
        <f t="shared" si="8"/>
        <v>10501978</v>
      </c>
    </row>
  </sheetData>
  <mergeCells count="24">
    <mergeCell ref="A34:D34"/>
    <mergeCell ref="A35:L35"/>
    <mergeCell ref="A7:L7"/>
    <mergeCell ref="F1:L1"/>
    <mergeCell ref="F2:L2"/>
    <mergeCell ref="A4:L4"/>
    <mergeCell ref="A5:L5"/>
    <mergeCell ref="A6:L6"/>
    <mergeCell ref="A38:D38"/>
    <mergeCell ref="K8:L8"/>
    <mergeCell ref="A9:A11"/>
    <mergeCell ref="B9:D9"/>
    <mergeCell ref="E9:H9"/>
    <mergeCell ref="I9:K9"/>
    <mergeCell ref="L9:L11"/>
    <mergeCell ref="B10:B11"/>
    <mergeCell ref="C10:C11"/>
    <mergeCell ref="D10:D11"/>
    <mergeCell ref="I10:I11"/>
    <mergeCell ref="J10:J11"/>
    <mergeCell ref="K10:K11"/>
    <mergeCell ref="E11:H11"/>
    <mergeCell ref="A12:L12"/>
    <mergeCell ref="A37:D37"/>
  </mergeCells>
  <pageMargins left="0.11811023622047245" right="0.11811023622047245" top="0.15748031496062992" bottom="0.15748031496062992" header="0.31496062992125984" footer="0.31496062992125984"/>
  <pageSetup paperSize="9" scale="81" orientation="landscape" horizontalDpi="300" verticalDpi="300" r:id="rId1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4618B-F529-432B-BC10-A71029B03C7F}">
  <sheetPr>
    <tabColor rgb="FF92D050"/>
  </sheetPr>
  <dimension ref="A1:K77"/>
  <sheetViews>
    <sheetView topLeftCell="A46" zoomScaleNormal="100" workbookViewId="0">
      <selection activeCell="O56" sqref="O56"/>
    </sheetView>
  </sheetViews>
  <sheetFormatPr defaultColWidth="9.140625" defaultRowHeight="15.75" x14ac:dyDescent="0.25"/>
  <cols>
    <col min="1" max="1" width="4.5703125" style="165" customWidth="1"/>
    <col min="2" max="2" width="20.140625" style="165" customWidth="1"/>
    <col min="3" max="3" width="29.140625" style="165" customWidth="1"/>
    <col min="4" max="4" width="13.28515625" style="165" customWidth="1"/>
    <col min="5" max="5" width="13.42578125" style="165" customWidth="1"/>
    <col min="6" max="6" width="13.7109375" style="165" customWidth="1"/>
    <col min="7" max="7" width="11.7109375" style="165" customWidth="1"/>
    <col min="8" max="8" width="13.7109375" style="165" customWidth="1"/>
    <col min="9" max="9" width="11.7109375" style="165" customWidth="1"/>
    <col min="10" max="10" width="13.28515625" style="165" customWidth="1"/>
    <col min="11" max="11" width="14.7109375" style="165" customWidth="1"/>
    <col min="12" max="12" width="10.140625" style="165" bestFit="1" customWidth="1"/>
    <col min="13" max="16384" width="9.140625" style="165"/>
  </cols>
  <sheetData>
    <row r="1" spans="1:11" ht="18" customHeight="1" x14ac:dyDescent="0.25">
      <c r="A1" s="159"/>
      <c r="B1" s="159"/>
      <c r="C1" s="159"/>
      <c r="D1" s="159"/>
      <c r="E1" s="485" t="s">
        <v>182</v>
      </c>
      <c r="F1" s="485"/>
      <c r="G1" s="485"/>
      <c r="H1" s="485"/>
      <c r="I1" s="485"/>
      <c r="J1" s="485"/>
      <c r="K1" s="485"/>
    </row>
    <row r="2" spans="1:11" ht="18" customHeight="1" x14ac:dyDescent="0.25">
      <c r="A2" s="159"/>
      <c r="B2" s="159"/>
      <c r="C2" s="159"/>
      <c r="D2" s="159"/>
      <c r="E2" s="485" t="s">
        <v>210</v>
      </c>
      <c r="F2" s="485"/>
      <c r="G2" s="485"/>
      <c r="H2" s="485"/>
      <c r="I2" s="485"/>
      <c r="J2" s="485"/>
      <c r="K2" s="485"/>
    </row>
    <row r="3" spans="1:11" ht="16.5" customHeight="1" x14ac:dyDescent="0.25">
      <c r="A3" s="144"/>
      <c r="B3" s="144"/>
      <c r="C3" s="144"/>
      <c r="D3" s="144"/>
      <c r="E3" s="144"/>
      <c r="F3" s="30"/>
      <c r="G3" s="30"/>
      <c r="H3" s="28"/>
      <c r="I3" s="30"/>
      <c r="J3" s="30"/>
      <c r="K3" s="30"/>
    </row>
    <row r="4" spans="1:11" ht="16.5" customHeight="1" x14ac:dyDescent="0.25">
      <c r="A4" s="476" t="s">
        <v>187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</row>
    <row r="5" spans="1:11" ht="15.95" customHeight="1" x14ac:dyDescent="0.25">
      <c r="A5" s="601" t="s">
        <v>125</v>
      </c>
      <c r="B5" s="601"/>
      <c r="C5" s="601"/>
      <c r="D5" s="601"/>
      <c r="E5" s="601"/>
      <c r="F5" s="601"/>
      <c r="G5" s="601"/>
      <c r="H5" s="601"/>
      <c r="I5" s="601"/>
      <c r="J5" s="601"/>
      <c r="K5" s="601"/>
    </row>
    <row r="6" spans="1:11" s="166" customFormat="1" ht="15.95" customHeight="1" x14ac:dyDescent="0.25">
      <c r="A6" s="476" t="s">
        <v>188</v>
      </c>
      <c r="B6" s="476"/>
      <c r="C6" s="476"/>
      <c r="D6" s="476"/>
      <c r="E6" s="476"/>
      <c r="F6" s="476"/>
      <c r="G6" s="476"/>
      <c r="H6" s="476"/>
      <c r="I6" s="476"/>
      <c r="J6" s="476"/>
      <c r="K6" s="476"/>
    </row>
    <row r="7" spans="1:11" s="166" customFormat="1" ht="15.95" customHeight="1" x14ac:dyDescent="0.25">
      <c r="A7" s="476" t="s">
        <v>189</v>
      </c>
      <c r="B7" s="476"/>
      <c r="C7" s="476"/>
      <c r="D7" s="476"/>
      <c r="E7" s="476"/>
      <c r="F7" s="476"/>
      <c r="G7" s="476"/>
      <c r="H7" s="476"/>
      <c r="I7" s="476"/>
      <c r="J7" s="476"/>
      <c r="K7" s="476"/>
    </row>
    <row r="8" spans="1:11" ht="16.5" thickBot="1" x14ac:dyDescent="0.3">
      <c r="J8" s="634" t="s">
        <v>95</v>
      </c>
      <c r="K8" s="634"/>
    </row>
    <row r="9" spans="1:11" ht="15.95" customHeight="1" x14ac:dyDescent="0.25">
      <c r="A9" s="635" t="s">
        <v>96</v>
      </c>
      <c r="B9" s="638" t="s">
        <v>126</v>
      </c>
      <c r="C9" s="639"/>
      <c r="D9" s="640"/>
      <c r="E9" s="641" t="s">
        <v>127</v>
      </c>
      <c r="F9" s="642"/>
      <c r="G9" s="642"/>
      <c r="H9" s="642"/>
      <c r="I9" s="642"/>
      <c r="J9" s="642"/>
      <c r="K9" s="643"/>
    </row>
    <row r="10" spans="1:11" ht="15.95" customHeight="1" x14ac:dyDescent="0.25">
      <c r="A10" s="636"/>
      <c r="B10" s="644" t="s">
        <v>128</v>
      </c>
      <c r="C10" s="646" t="s">
        <v>129</v>
      </c>
      <c r="D10" s="646" t="s">
        <v>130</v>
      </c>
      <c r="E10" s="646" t="s">
        <v>131</v>
      </c>
      <c r="F10" s="648" t="s">
        <v>132</v>
      </c>
      <c r="G10" s="649"/>
      <c r="H10" s="649"/>
      <c r="I10" s="649"/>
      <c r="J10" s="649"/>
      <c r="K10" s="650"/>
    </row>
    <row r="11" spans="1:11" ht="24.75" customHeight="1" thickBot="1" x14ac:dyDescent="0.3">
      <c r="A11" s="637"/>
      <c r="B11" s="645"/>
      <c r="C11" s="647"/>
      <c r="D11" s="647"/>
      <c r="E11" s="647"/>
      <c r="F11" s="167" t="s">
        <v>133</v>
      </c>
      <c r="G11" s="167" t="s">
        <v>134</v>
      </c>
      <c r="H11" s="167" t="s">
        <v>135</v>
      </c>
      <c r="I11" s="168" t="s">
        <v>136</v>
      </c>
      <c r="J11" s="169" t="s">
        <v>137</v>
      </c>
      <c r="K11" s="170" t="s">
        <v>138</v>
      </c>
    </row>
    <row r="12" spans="1:11" ht="15" customHeight="1" x14ac:dyDescent="0.25">
      <c r="A12" s="608" t="s">
        <v>1</v>
      </c>
      <c r="B12" s="628" t="s">
        <v>141</v>
      </c>
      <c r="C12" s="628" t="s">
        <v>142</v>
      </c>
      <c r="D12" s="617">
        <v>0.95</v>
      </c>
      <c r="E12" s="182" t="s">
        <v>139</v>
      </c>
      <c r="F12" s="183">
        <v>1463600</v>
      </c>
      <c r="G12" s="183">
        <v>189268</v>
      </c>
      <c r="H12" s="183">
        <v>458749</v>
      </c>
      <c r="I12" s="183">
        <v>0</v>
      </c>
      <c r="J12" s="184">
        <v>0</v>
      </c>
      <c r="K12" s="185">
        <f>F12+G12+H12+I12+J12</f>
        <v>2111617</v>
      </c>
    </row>
    <row r="13" spans="1:11" ht="15" customHeight="1" x14ac:dyDescent="0.25">
      <c r="A13" s="609"/>
      <c r="B13" s="629"/>
      <c r="C13" s="629"/>
      <c r="D13" s="607"/>
      <c r="E13" s="164" t="s">
        <v>140</v>
      </c>
      <c r="F13" s="187">
        <v>0</v>
      </c>
      <c r="G13" s="187">
        <v>0</v>
      </c>
      <c r="H13" s="187">
        <v>0</v>
      </c>
      <c r="I13" s="187">
        <v>0</v>
      </c>
      <c r="J13" s="188">
        <v>0</v>
      </c>
      <c r="K13" s="189">
        <f>F13+G13+H13+I13+J13</f>
        <v>0</v>
      </c>
    </row>
    <row r="14" spans="1:11" ht="15" customHeight="1" thickBot="1" x14ac:dyDescent="0.3">
      <c r="A14" s="610"/>
      <c r="B14" s="633"/>
      <c r="C14" s="633"/>
      <c r="D14" s="618"/>
      <c r="E14" s="209" t="s">
        <v>138</v>
      </c>
      <c r="F14" s="180">
        <f t="shared" ref="F14:K14" si="0">SUM(F12:F13)</f>
        <v>1463600</v>
      </c>
      <c r="G14" s="180">
        <f t="shared" si="0"/>
        <v>189268</v>
      </c>
      <c r="H14" s="180">
        <f t="shared" si="0"/>
        <v>458749</v>
      </c>
      <c r="I14" s="180">
        <f t="shared" si="0"/>
        <v>0</v>
      </c>
      <c r="J14" s="180">
        <f t="shared" si="0"/>
        <v>0</v>
      </c>
      <c r="K14" s="181">
        <f t="shared" si="0"/>
        <v>2111617</v>
      </c>
    </row>
    <row r="15" spans="1:11" ht="15" customHeight="1" x14ac:dyDescent="0.25">
      <c r="A15" s="608" t="s">
        <v>2</v>
      </c>
      <c r="B15" s="628" t="s">
        <v>143</v>
      </c>
      <c r="C15" s="628" t="s">
        <v>144</v>
      </c>
      <c r="D15" s="617">
        <v>0.95</v>
      </c>
      <c r="E15" s="182" t="s">
        <v>139</v>
      </c>
      <c r="F15" s="183">
        <v>831800</v>
      </c>
      <c r="G15" s="183">
        <v>112134</v>
      </c>
      <c r="H15" s="183">
        <v>553117</v>
      </c>
      <c r="I15" s="183">
        <v>0</v>
      </c>
      <c r="J15" s="184">
        <v>0</v>
      </c>
      <c r="K15" s="185">
        <f>F15+G15+H15+I15+J15</f>
        <v>1497051</v>
      </c>
    </row>
    <row r="16" spans="1:11" ht="15" customHeight="1" x14ac:dyDescent="0.25">
      <c r="A16" s="609"/>
      <c r="B16" s="629"/>
      <c r="C16" s="629"/>
      <c r="D16" s="607"/>
      <c r="E16" s="164" t="s">
        <v>140</v>
      </c>
      <c r="F16" s="187">
        <v>1200000</v>
      </c>
      <c r="G16" s="187">
        <v>156000</v>
      </c>
      <c r="H16" s="187">
        <v>0</v>
      </c>
      <c r="I16" s="187">
        <v>0</v>
      </c>
      <c r="J16" s="188">
        <v>0</v>
      </c>
      <c r="K16" s="189">
        <f>F16+G16+H16+I16+J16</f>
        <v>1356000</v>
      </c>
    </row>
    <row r="17" spans="1:11" ht="15" customHeight="1" thickBot="1" x14ac:dyDescent="0.3">
      <c r="A17" s="610"/>
      <c r="B17" s="633"/>
      <c r="C17" s="633"/>
      <c r="D17" s="618"/>
      <c r="E17" s="209" t="s">
        <v>138</v>
      </c>
      <c r="F17" s="180">
        <f t="shared" ref="F17:K17" si="1">SUM(F15:F16)</f>
        <v>2031800</v>
      </c>
      <c r="G17" s="180">
        <f t="shared" si="1"/>
        <v>268134</v>
      </c>
      <c r="H17" s="180">
        <f t="shared" si="1"/>
        <v>553117</v>
      </c>
      <c r="I17" s="180">
        <f t="shared" si="1"/>
        <v>0</v>
      </c>
      <c r="J17" s="180">
        <f t="shared" si="1"/>
        <v>0</v>
      </c>
      <c r="K17" s="181">
        <f t="shared" si="1"/>
        <v>2853051</v>
      </c>
    </row>
    <row r="18" spans="1:11" ht="15" customHeight="1" x14ac:dyDescent="0.25">
      <c r="A18" s="608" t="s">
        <v>4</v>
      </c>
      <c r="B18" s="628" t="s">
        <v>197</v>
      </c>
      <c r="C18" s="628" t="s">
        <v>198</v>
      </c>
      <c r="D18" s="617">
        <v>0.95</v>
      </c>
      <c r="E18" s="182" t="s">
        <v>139</v>
      </c>
      <c r="F18" s="172">
        <v>400000</v>
      </c>
      <c r="G18" s="172">
        <v>52000</v>
      </c>
      <c r="H18" s="172">
        <v>3366882</v>
      </c>
      <c r="I18" s="172">
        <v>0</v>
      </c>
      <c r="J18" s="173">
        <v>380000</v>
      </c>
      <c r="K18" s="174">
        <f>F18+G18+H18+I18+J18</f>
        <v>4198882</v>
      </c>
    </row>
    <row r="19" spans="1:11" ht="15" customHeight="1" x14ac:dyDescent="0.25">
      <c r="A19" s="609"/>
      <c r="B19" s="629"/>
      <c r="C19" s="629"/>
      <c r="D19" s="607"/>
      <c r="E19" s="164" t="s">
        <v>140</v>
      </c>
      <c r="F19" s="177">
        <v>11626446</v>
      </c>
      <c r="G19" s="177">
        <v>1511438</v>
      </c>
      <c r="H19" s="177">
        <v>1450883</v>
      </c>
      <c r="I19" s="177">
        <v>0</v>
      </c>
      <c r="J19" s="178">
        <v>0</v>
      </c>
      <c r="K19" s="179">
        <f>F19+G19+H19+I19+J19</f>
        <v>14588767</v>
      </c>
    </row>
    <row r="20" spans="1:11" ht="15" customHeight="1" thickBot="1" x14ac:dyDescent="0.3">
      <c r="A20" s="610"/>
      <c r="B20" s="633"/>
      <c r="C20" s="633"/>
      <c r="D20" s="618"/>
      <c r="E20" s="209" t="s">
        <v>138</v>
      </c>
      <c r="F20" s="180">
        <f t="shared" ref="F20:K20" si="2">SUM(F18:F19)</f>
        <v>12026446</v>
      </c>
      <c r="G20" s="180">
        <f t="shared" si="2"/>
        <v>1563438</v>
      </c>
      <c r="H20" s="180">
        <f t="shared" si="2"/>
        <v>4817765</v>
      </c>
      <c r="I20" s="180">
        <f t="shared" si="2"/>
        <v>0</v>
      </c>
      <c r="J20" s="180">
        <f t="shared" si="2"/>
        <v>380000</v>
      </c>
      <c r="K20" s="181">
        <f t="shared" si="2"/>
        <v>18787649</v>
      </c>
    </row>
    <row r="21" spans="1:11" s="175" customFormat="1" ht="15" customHeight="1" x14ac:dyDescent="0.25">
      <c r="A21" s="608" t="s">
        <v>101</v>
      </c>
      <c r="B21" s="628" t="s">
        <v>199</v>
      </c>
      <c r="C21" s="628" t="s">
        <v>200</v>
      </c>
      <c r="D21" s="617">
        <v>0.95</v>
      </c>
      <c r="E21" s="171" t="s">
        <v>139</v>
      </c>
      <c r="F21" s="183">
        <v>400000</v>
      </c>
      <c r="G21" s="183">
        <v>52000</v>
      </c>
      <c r="H21" s="183">
        <v>3751626</v>
      </c>
      <c r="I21" s="183">
        <v>0</v>
      </c>
      <c r="J21" s="184">
        <v>0</v>
      </c>
      <c r="K21" s="185">
        <f>F21+G21+H21+I21+J21</f>
        <v>4203626</v>
      </c>
    </row>
    <row r="22" spans="1:11" ht="15" customHeight="1" x14ac:dyDescent="0.25">
      <c r="A22" s="609"/>
      <c r="B22" s="629"/>
      <c r="C22" s="629"/>
      <c r="D22" s="607"/>
      <c r="E22" s="164" t="s">
        <v>140</v>
      </c>
      <c r="F22" s="187">
        <v>11807825</v>
      </c>
      <c r="G22" s="187">
        <v>1535017</v>
      </c>
      <c r="H22" s="187">
        <v>1481626</v>
      </c>
      <c r="I22" s="187">
        <v>0</v>
      </c>
      <c r="J22" s="188">
        <v>0</v>
      </c>
      <c r="K22" s="189">
        <f>F22+G22+H22+I22+J22</f>
        <v>14824468</v>
      </c>
    </row>
    <row r="23" spans="1:11" ht="15" customHeight="1" thickBot="1" x14ac:dyDescent="0.3">
      <c r="A23" s="610"/>
      <c r="B23" s="633"/>
      <c r="C23" s="633"/>
      <c r="D23" s="618"/>
      <c r="E23" s="209" t="s">
        <v>138</v>
      </c>
      <c r="F23" s="180">
        <f t="shared" ref="F23:K23" si="3">SUM(F21:F22)</f>
        <v>12207825</v>
      </c>
      <c r="G23" s="180">
        <f t="shared" si="3"/>
        <v>1587017</v>
      </c>
      <c r="H23" s="180">
        <f t="shared" si="3"/>
        <v>5233252</v>
      </c>
      <c r="I23" s="180">
        <f t="shared" si="3"/>
        <v>0</v>
      </c>
      <c r="J23" s="180">
        <f t="shared" si="3"/>
        <v>0</v>
      </c>
      <c r="K23" s="181">
        <f t="shared" si="3"/>
        <v>19028094</v>
      </c>
    </row>
    <row r="24" spans="1:11" ht="15" customHeight="1" x14ac:dyDescent="0.25">
      <c r="A24" s="608" t="s">
        <v>102</v>
      </c>
      <c r="B24" s="628" t="s">
        <v>201</v>
      </c>
      <c r="C24" s="628" t="s">
        <v>202</v>
      </c>
      <c r="D24" s="617">
        <v>0.95</v>
      </c>
      <c r="E24" s="182" t="s">
        <v>139</v>
      </c>
      <c r="F24" s="172">
        <f>400000+1000000</f>
        <v>1400000</v>
      </c>
      <c r="G24" s="172">
        <v>52000</v>
      </c>
      <c r="H24" s="172">
        <f>6345611-1000000</f>
        <v>5345611</v>
      </c>
      <c r="I24" s="183">
        <v>0</v>
      </c>
      <c r="J24" s="184">
        <v>0</v>
      </c>
      <c r="K24" s="185">
        <f>F24+G24+H24+I24+J24</f>
        <v>6797611</v>
      </c>
    </row>
    <row r="25" spans="1:11" ht="15" customHeight="1" x14ac:dyDescent="0.25">
      <c r="A25" s="609"/>
      <c r="B25" s="629"/>
      <c r="C25" s="629"/>
      <c r="D25" s="607"/>
      <c r="E25" s="164" t="s">
        <v>140</v>
      </c>
      <c r="F25" s="187">
        <v>10710388</v>
      </c>
      <c r="G25" s="187">
        <v>1392350</v>
      </c>
      <c r="H25" s="187">
        <v>1295611</v>
      </c>
      <c r="I25" s="187">
        <v>0</v>
      </c>
      <c r="J25" s="188">
        <v>0</v>
      </c>
      <c r="K25" s="189">
        <f>F25+G25+H25+I25+J25</f>
        <v>13398349</v>
      </c>
    </row>
    <row r="26" spans="1:11" ht="15" customHeight="1" thickBot="1" x14ac:dyDescent="0.3">
      <c r="A26" s="610"/>
      <c r="B26" s="633"/>
      <c r="C26" s="633"/>
      <c r="D26" s="618"/>
      <c r="E26" s="209" t="s">
        <v>138</v>
      </c>
      <c r="F26" s="180">
        <f t="shared" ref="F26:K26" si="4">SUM(F24:F25)</f>
        <v>12110388</v>
      </c>
      <c r="G26" s="180">
        <f t="shared" si="4"/>
        <v>1444350</v>
      </c>
      <c r="H26" s="180">
        <f t="shared" si="4"/>
        <v>6641222</v>
      </c>
      <c r="I26" s="180">
        <f t="shared" si="4"/>
        <v>0</v>
      </c>
      <c r="J26" s="180">
        <f t="shared" si="4"/>
        <v>0</v>
      </c>
      <c r="K26" s="181">
        <f t="shared" si="4"/>
        <v>20195960</v>
      </c>
    </row>
    <row r="27" spans="1:11" ht="15" customHeight="1" x14ac:dyDescent="0.25">
      <c r="A27" s="608" t="s">
        <v>103</v>
      </c>
      <c r="B27" s="628" t="s">
        <v>203</v>
      </c>
      <c r="C27" s="628" t="s">
        <v>204</v>
      </c>
      <c r="D27" s="617">
        <v>0.95</v>
      </c>
      <c r="E27" s="182" t="s">
        <v>139</v>
      </c>
      <c r="F27" s="183">
        <v>400000</v>
      </c>
      <c r="G27" s="183">
        <v>52000</v>
      </c>
      <c r="H27" s="183">
        <v>6118577</v>
      </c>
      <c r="I27" s="183">
        <v>0</v>
      </c>
      <c r="J27" s="184">
        <v>0</v>
      </c>
      <c r="K27" s="185">
        <f>F27+G27+H27+I27+J27</f>
        <v>6570577</v>
      </c>
    </row>
    <row r="28" spans="1:11" ht="15" customHeight="1" x14ac:dyDescent="0.25">
      <c r="A28" s="609"/>
      <c r="B28" s="629"/>
      <c r="C28" s="629"/>
      <c r="D28" s="607"/>
      <c r="E28" s="164" t="s">
        <v>140</v>
      </c>
      <c r="F28" s="187">
        <v>8486001</v>
      </c>
      <c r="G28" s="187">
        <v>1103180</v>
      </c>
      <c r="H28" s="187">
        <v>918577</v>
      </c>
      <c r="I28" s="187">
        <v>0</v>
      </c>
      <c r="J28" s="188">
        <v>0</v>
      </c>
      <c r="K28" s="189">
        <f>F28+G28+H28+I28+J28</f>
        <v>10507758</v>
      </c>
    </row>
    <row r="29" spans="1:11" ht="15" customHeight="1" thickBot="1" x14ac:dyDescent="0.3">
      <c r="A29" s="610"/>
      <c r="B29" s="633"/>
      <c r="C29" s="633"/>
      <c r="D29" s="618"/>
      <c r="E29" s="209" t="s">
        <v>138</v>
      </c>
      <c r="F29" s="180">
        <f t="shared" ref="F29:K29" si="5">SUM(F27:F28)</f>
        <v>8886001</v>
      </c>
      <c r="G29" s="180">
        <f t="shared" si="5"/>
        <v>1155180</v>
      </c>
      <c r="H29" s="180">
        <f t="shared" si="5"/>
        <v>7037154</v>
      </c>
      <c r="I29" s="180">
        <f t="shared" si="5"/>
        <v>0</v>
      </c>
      <c r="J29" s="180">
        <f t="shared" si="5"/>
        <v>0</v>
      </c>
      <c r="K29" s="181">
        <f t="shared" si="5"/>
        <v>17078335</v>
      </c>
    </row>
    <row r="30" spans="1:11" s="175" customFormat="1" ht="15" customHeight="1" x14ac:dyDescent="0.25">
      <c r="A30" s="608" t="s">
        <v>105</v>
      </c>
      <c r="B30" s="612" t="s">
        <v>205</v>
      </c>
      <c r="C30" s="629" t="s">
        <v>206</v>
      </c>
      <c r="D30" s="607">
        <v>0.95</v>
      </c>
      <c r="E30" s="176" t="s">
        <v>139</v>
      </c>
      <c r="F30" s="190">
        <v>400000</v>
      </c>
      <c r="G30" s="190">
        <v>52000</v>
      </c>
      <c r="H30" s="190">
        <v>7517473</v>
      </c>
      <c r="I30" s="190">
        <v>0</v>
      </c>
      <c r="J30" s="191">
        <v>1700000</v>
      </c>
      <c r="K30" s="179">
        <f>F30+G30+H30+I30+J30</f>
        <v>9669473</v>
      </c>
    </row>
    <row r="31" spans="1:11" ht="15" customHeight="1" x14ac:dyDescent="0.25">
      <c r="A31" s="609"/>
      <c r="B31" s="612"/>
      <c r="C31" s="629"/>
      <c r="D31" s="607"/>
      <c r="E31" s="164" t="s">
        <v>140</v>
      </c>
      <c r="F31" s="187">
        <v>11517832</v>
      </c>
      <c r="G31" s="187">
        <v>1497318</v>
      </c>
      <c r="H31" s="187">
        <v>553052</v>
      </c>
      <c r="I31" s="187">
        <v>0</v>
      </c>
      <c r="J31" s="188">
        <v>0</v>
      </c>
      <c r="K31" s="189">
        <f>F31+G31+H31+I31+J31</f>
        <v>13568202</v>
      </c>
    </row>
    <row r="32" spans="1:11" ht="15" customHeight="1" thickBot="1" x14ac:dyDescent="0.3">
      <c r="A32" s="610"/>
      <c r="B32" s="613"/>
      <c r="C32" s="633"/>
      <c r="D32" s="618"/>
      <c r="E32" s="209" t="s">
        <v>138</v>
      </c>
      <c r="F32" s="180">
        <f t="shared" ref="F32:K32" si="6">SUM(F30:F31)</f>
        <v>11917832</v>
      </c>
      <c r="G32" s="180">
        <f t="shared" si="6"/>
        <v>1549318</v>
      </c>
      <c r="H32" s="180">
        <f t="shared" si="6"/>
        <v>8070525</v>
      </c>
      <c r="I32" s="180">
        <f t="shared" si="6"/>
        <v>0</v>
      </c>
      <c r="J32" s="180">
        <f t="shared" si="6"/>
        <v>1700000</v>
      </c>
      <c r="K32" s="181">
        <f t="shared" si="6"/>
        <v>23237675</v>
      </c>
    </row>
    <row r="33" spans="1:11" s="175" customFormat="1" ht="15" customHeight="1" x14ac:dyDescent="0.25">
      <c r="A33" s="608" t="s">
        <v>106</v>
      </c>
      <c r="B33" s="612" t="s">
        <v>145</v>
      </c>
      <c r="C33" s="629">
        <v>101035163</v>
      </c>
      <c r="D33" s="607">
        <v>0.65</v>
      </c>
      <c r="E33" s="176" t="s">
        <v>139</v>
      </c>
      <c r="F33" s="190">
        <v>3000000</v>
      </c>
      <c r="G33" s="190">
        <v>800000</v>
      </c>
      <c r="H33" s="190">
        <v>5037213</v>
      </c>
      <c r="I33" s="190">
        <v>0</v>
      </c>
      <c r="J33" s="191">
        <v>1000000</v>
      </c>
      <c r="K33" s="179">
        <f>F33+G33+H33+I33+J33</f>
        <v>9837213</v>
      </c>
    </row>
    <row r="34" spans="1:11" ht="15" customHeight="1" x14ac:dyDescent="0.25">
      <c r="A34" s="609"/>
      <c r="B34" s="612"/>
      <c r="C34" s="629"/>
      <c r="D34" s="607"/>
      <c r="E34" s="164" t="s">
        <v>140</v>
      </c>
      <c r="F34" s="194">
        <v>6993486</v>
      </c>
      <c r="G34" s="194">
        <v>947653</v>
      </c>
      <c r="H34" s="194">
        <v>150000</v>
      </c>
      <c r="I34" s="194">
        <v>0</v>
      </c>
      <c r="J34" s="178">
        <v>0</v>
      </c>
      <c r="K34" s="179">
        <f>F34+G34+H34+I34+J34</f>
        <v>8091139</v>
      </c>
    </row>
    <row r="35" spans="1:11" ht="15" customHeight="1" thickBot="1" x14ac:dyDescent="0.3">
      <c r="A35" s="610"/>
      <c r="B35" s="613"/>
      <c r="C35" s="633"/>
      <c r="D35" s="618"/>
      <c r="E35" s="209" t="s">
        <v>138</v>
      </c>
      <c r="F35" s="180">
        <f t="shared" ref="F35:K35" si="7">SUM(F33:F34)</f>
        <v>9993486</v>
      </c>
      <c r="G35" s="180">
        <f t="shared" si="7"/>
        <v>1747653</v>
      </c>
      <c r="H35" s="180">
        <f t="shared" si="7"/>
        <v>5187213</v>
      </c>
      <c r="I35" s="180">
        <f t="shared" si="7"/>
        <v>0</v>
      </c>
      <c r="J35" s="180">
        <f t="shared" si="7"/>
        <v>1000000</v>
      </c>
      <c r="K35" s="181">
        <f t="shared" si="7"/>
        <v>17928352</v>
      </c>
    </row>
    <row r="36" spans="1:11" s="175" customFormat="1" ht="15" customHeight="1" x14ac:dyDescent="0.25">
      <c r="A36" s="608" t="s">
        <v>107</v>
      </c>
      <c r="B36" s="611" t="s">
        <v>176</v>
      </c>
      <c r="C36" s="628">
        <v>101074095</v>
      </c>
      <c r="D36" s="617">
        <v>0.9</v>
      </c>
      <c r="E36" s="171" t="s">
        <v>139</v>
      </c>
      <c r="F36" s="172">
        <v>1500000</v>
      </c>
      <c r="G36" s="172">
        <v>500000</v>
      </c>
      <c r="H36" s="172">
        <v>4067060</v>
      </c>
      <c r="I36" s="172"/>
      <c r="J36" s="173">
        <v>0</v>
      </c>
      <c r="K36" s="174">
        <f>F36+G36+H36+I36+J36</f>
        <v>6067060</v>
      </c>
    </row>
    <row r="37" spans="1:11" ht="15" customHeight="1" x14ac:dyDescent="0.25">
      <c r="A37" s="609"/>
      <c r="B37" s="612"/>
      <c r="C37" s="629"/>
      <c r="D37" s="607"/>
      <c r="E37" s="164" t="s">
        <v>140</v>
      </c>
      <c r="F37" s="194">
        <v>3185326</v>
      </c>
      <c r="G37" s="194">
        <v>437697</v>
      </c>
      <c r="H37" s="194">
        <v>400000</v>
      </c>
      <c r="I37" s="194">
        <v>0</v>
      </c>
      <c r="J37" s="178">
        <v>0</v>
      </c>
      <c r="K37" s="179">
        <f>F37+G37+H37+I37+J37</f>
        <v>4023023</v>
      </c>
    </row>
    <row r="38" spans="1:11" ht="15" customHeight="1" thickBot="1" x14ac:dyDescent="0.3">
      <c r="A38" s="609"/>
      <c r="B38" s="612"/>
      <c r="C38" s="629"/>
      <c r="D38" s="607"/>
      <c r="E38" s="318" t="s">
        <v>138</v>
      </c>
      <c r="F38" s="196">
        <f t="shared" ref="F38:K38" si="8">SUM(F36:F37)</f>
        <v>4685326</v>
      </c>
      <c r="G38" s="196">
        <f t="shared" si="8"/>
        <v>937697</v>
      </c>
      <c r="H38" s="196">
        <f t="shared" si="8"/>
        <v>4467060</v>
      </c>
      <c r="I38" s="196">
        <f t="shared" si="8"/>
        <v>0</v>
      </c>
      <c r="J38" s="196">
        <f t="shared" si="8"/>
        <v>0</v>
      </c>
      <c r="K38" s="197">
        <f t="shared" si="8"/>
        <v>10090083</v>
      </c>
    </row>
    <row r="39" spans="1:11" ht="15" customHeight="1" x14ac:dyDescent="0.25">
      <c r="A39" s="608" t="s">
        <v>108</v>
      </c>
      <c r="B39" s="611" t="s">
        <v>146</v>
      </c>
      <c r="C39" s="630" t="s">
        <v>147</v>
      </c>
      <c r="D39" s="617">
        <v>1</v>
      </c>
      <c r="E39" s="182" t="s">
        <v>139</v>
      </c>
      <c r="F39" s="183">
        <v>0</v>
      </c>
      <c r="G39" s="183">
        <v>0</v>
      </c>
      <c r="H39" s="183">
        <v>0</v>
      </c>
      <c r="I39" s="183">
        <v>0</v>
      </c>
      <c r="J39" s="184">
        <v>0</v>
      </c>
      <c r="K39" s="185">
        <f>F39+G39+H39+I39+J39</f>
        <v>0</v>
      </c>
    </row>
    <row r="40" spans="1:11" ht="15" customHeight="1" x14ac:dyDescent="0.25">
      <c r="A40" s="609"/>
      <c r="B40" s="612"/>
      <c r="C40" s="631"/>
      <c r="D40" s="607"/>
      <c r="E40" s="164" t="s">
        <v>140</v>
      </c>
      <c r="F40" s="195">
        <v>16043872</v>
      </c>
      <c r="G40" s="195">
        <v>2259151</v>
      </c>
      <c r="H40" s="195">
        <v>4200000</v>
      </c>
      <c r="I40" s="195">
        <v>0</v>
      </c>
      <c r="J40" s="188">
        <v>0</v>
      </c>
      <c r="K40" s="189">
        <f>F40+G40+H40+I40+J40</f>
        <v>22503023</v>
      </c>
    </row>
    <row r="41" spans="1:11" ht="15" customHeight="1" thickBot="1" x14ac:dyDescent="0.3">
      <c r="A41" s="610"/>
      <c r="B41" s="613"/>
      <c r="C41" s="632"/>
      <c r="D41" s="618"/>
      <c r="E41" s="209" t="s">
        <v>138</v>
      </c>
      <c r="F41" s="180">
        <f t="shared" ref="F41:K41" si="9">SUM(F39:F40)</f>
        <v>16043872</v>
      </c>
      <c r="G41" s="180">
        <f t="shared" si="9"/>
        <v>2259151</v>
      </c>
      <c r="H41" s="180">
        <f t="shared" si="9"/>
        <v>4200000</v>
      </c>
      <c r="I41" s="180">
        <f t="shared" si="9"/>
        <v>0</v>
      </c>
      <c r="J41" s="180">
        <f t="shared" si="9"/>
        <v>0</v>
      </c>
      <c r="K41" s="181">
        <f t="shared" si="9"/>
        <v>22503023</v>
      </c>
    </row>
    <row r="42" spans="1:11" ht="15" customHeight="1" x14ac:dyDescent="0.25">
      <c r="A42" s="608" t="s">
        <v>109</v>
      </c>
      <c r="B42" s="611" t="s">
        <v>148</v>
      </c>
      <c r="C42" s="614" t="s">
        <v>149</v>
      </c>
      <c r="D42" s="617">
        <v>1</v>
      </c>
      <c r="E42" s="186" t="s">
        <v>139</v>
      </c>
      <c r="F42" s="172">
        <f>350000+200000</f>
        <v>550000</v>
      </c>
      <c r="G42" s="172">
        <f>45500+26000</f>
        <v>71500</v>
      </c>
      <c r="H42" s="172">
        <f>20945543-2190750-226000-3923689</f>
        <v>14605104</v>
      </c>
      <c r="I42" s="183">
        <v>0</v>
      </c>
      <c r="J42" s="184">
        <f>15995670+2190750</f>
        <v>18186420</v>
      </c>
      <c r="K42" s="185">
        <f>F42+G42+H42+I42+J42</f>
        <v>33413024</v>
      </c>
    </row>
    <row r="43" spans="1:11" ht="15" customHeight="1" x14ac:dyDescent="0.25">
      <c r="A43" s="609"/>
      <c r="B43" s="612"/>
      <c r="C43" s="615"/>
      <c r="D43" s="607"/>
      <c r="E43" s="164" t="s">
        <v>140</v>
      </c>
      <c r="F43" s="177">
        <f>3526667+3445226</f>
        <v>6971893</v>
      </c>
      <c r="G43" s="177">
        <f>458467+478463</f>
        <v>936930</v>
      </c>
      <c r="H43" s="177">
        <v>0</v>
      </c>
      <c r="I43" s="195">
        <v>0</v>
      </c>
      <c r="J43" s="188">
        <v>0</v>
      </c>
      <c r="K43" s="189">
        <f>F43+G43+H43+I43+J43</f>
        <v>7908823</v>
      </c>
    </row>
    <row r="44" spans="1:11" ht="15" customHeight="1" thickBot="1" x14ac:dyDescent="0.3">
      <c r="A44" s="610"/>
      <c r="B44" s="613"/>
      <c r="C44" s="616"/>
      <c r="D44" s="618"/>
      <c r="E44" s="209" t="s">
        <v>138</v>
      </c>
      <c r="F44" s="180">
        <f t="shared" ref="F44:K44" si="10">SUM(F42:F43)</f>
        <v>7521893</v>
      </c>
      <c r="G44" s="180">
        <f t="shared" si="10"/>
        <v>1008430</v>
      </c>
      <c r="H44" s="180">
        <f t="shared" si="10"/>
        <v>14605104</v>
      </c>
      <c r="I44" s="180">
        <f t="shared" si="10"/>
        <v>0</v>
      </c>
      <c r="J44" s="180">
        <f t="shared" si="10"/>
        <v>18186420</v>
      </c>
      <c r="K44" s="181">
        <f t="shared" si="10"/>
        <v>41321847</v>
      </c>
    </row>
    <row r="45" spans="1:11" ht="15" customHeight="1" x14ac:dyDescent="0.25">
      <c r="A45" s="608" t="s">
        <v>110</v>
      </c>
      <c r="B45" s="715" t="s">
        <v>150</v>
      </c>
      <c r="C45" s="630" t="s">
        <v>151</v>
      </c>
      <c r="D45" s="617">
        <v>1</v>
      </c>
      <c r="E45" s="182" t="s">
        <v>139</v>
      </c>
      <c r="F45" s="172">
        <f>35688697+30000000+100000000</f>
        <v>165688697</v>
      </c>
      <c r="G45" s="172">
        <v>2500000</v>
      </c>
      <c r="H45" s="172">
        <f>451257707-30000000-106539068</f>
        <v>314718639</v>
      </c>
      <c r="I45" s="183">
        <v>0</v>
      </c>
      <c r="J45" s="184">
        <v>52042084</v>
      </c>
      <c r="K45" s="185">
        <f>F45+G45+H45+I45+J45</f>
        <v>534949420</v>
      </c>
    </row>
    <row r="46" spans="1:11" ht="15" customHeight="1" x14ac:dyDescent="0.25">
      <c r="A46" s="609"/>
      <c r="B46" s="626"/>
      <c r="C46" s="631"/>
      <c r="D46" s="607"/>
      <c r="E46" s="164" t="s">
        <v>140</v>
      </c>
      <c r="F46" s="177">
        <f>68216014+5608850</f>
        <v>73824864</v>
      </c>
      <c r="G46" s="177">
        <f>9161331+930218</f>
        <v>10091549</v>
      </c>
      <c r="H46" s="177">
        <v>1500000</v>
      </c>
      <c r="I46" s="195">
        <v>0</v>
      </c>
      <c r="J46" s="188">
        <v>0</v>
      </c>
      <c r="K46" s="189">
        <f>F46+G46+H46+I46+J46</f>
        <v>85416413</v>
      </c>
    </row>
    <row r="47" spans="1:11" ht="15" customHeight="1" thickBot="1" x14ac:dyDescent="0.3">
      <c r="A47" s="610"/>
      <c r="B47" s="627"/>
      <c r="C47" s="632"/>
      <c r="D47" s="618"/>
      <c r="E47" s="209" t="s">
        <v>138</v>
      </c>
      <c r="F47" s="180">
        <f t="shared" ref="F47:K47" si="11">SUM(F45:F46)</f>
        <v>239513561</v>
      </c>
      <c r="G47" s="180">
        <f t="shared" si="11"/>
        <v>12591549</v>
      </c>
      <c r="H47" s="180">
        <f t="shared" si="11"/>
        <v>316218639</v>
      </c>
      <c r="I47" s="180">
        <f t="shared" si="11"/>
        <v>0</v>
      </c>
      <c r="J47" s="180">
        <f t="shared" si="11"/>
        <v>52042084</v>
      </c>
      <c r="K47" s="181">
        <f t="shared" si="11"/>
        <v>620365833</v>
      </c>
    </row>
    <row r="48" spans="1:11" ht="15" customHeight="1" x14ac:dyDescent="0.25">
      <c r="A48" s="608" t="s">
        <v>111</v>
      </c>
      <c r="B48" s="715" t="s">
        <v>152</v>
      </c>
      <c r="C48" s="630" t="s">
        <v>153</v>
      </c>
      <c r="D48" s="617">
        <v>1</v>
      </c>
      <c r="E48" s="182" t="s">
        <v>139</v>
      </c>
      <c r="F48" s="172">
        <v>200000</v>
      </c>
      <c r="G48" s="172">
        <v>0</v>
      </c>
      <c r="H48" s="172">
        <f>12375523-423750-1385488</f>
        <v>10566285</v>
      </c>
      <c r="I48" s="183">
        <v>0</v>
      </c>
      <c r="J48" s="184">
        <f>63142150+423750</f>
        <v>63565900</v>
      </c>
      <c r="K48" s="185">
        <f>F48+G48+H48+I48+J48</f>
        <v>74332185</v>
      </c>
    </row>
    <row r="49" spans="1:11" ht="15" customHeight="1" x14ac:dyDescent="0.25">
      <c r="A49" s="609"/>
      <c r="B49" s="626"/>
      <c r="C49" s="631"/>
      <c r="D49" s="607"/>
      <c r="E49" s="164" t="s">
        <v>140</v>
      </c>
      <c r="F49" s="177">
        <f>4150000+2296467</f>
        <v>6446467</v>
      </c>
      <c r="G49" s="177">
        <f>539500+361021</f>
        <v>900521</v>
      </c>
      <c r="H49" s="177">
        <f>3000000-3000000</f>
        <v>0</v>
      </c>
      <c r="I49" s="195">
        <v>0</v>
      </c>
      <c r="J49" s="188">
        <v>1728000</v>
      </c>
      <c r="K49" s="189">
        <f>F49+G49+H49+I49+J49</f>
        <v>9074988</v>
      </c>
    </row>
    <row r="50" spans="1:11" ht="15" customHeight="1" thickBot="1" x14ac:dyDescent="0.3">
      <c r="A50" s="610"/>
      <c r="B50" s="627"/>
      <c r="C50" s="632"/>
      <c r="D50" s="618"/>
      <c r="E50" s="209" t="s">
        <v>138</v>
      </c>
      <c r="F50" s="180">
        <f t="shared" ref="F50:K50" si="12">SUM(F48:F49)</f>
        <v>6646467</v>
      </c>
      <c r="G50" s="180">
        <f t="shared" si="12"/>
        <v>900521</v>
      </c>
      <c r="H50" s="180">
        <f t="shared" si="12"/>
        <v>10566285</v>
      </c>
      <c r="I50" s="180">
        <f t="shared" si="12"/>
        <v>0</v>
      </c>
      <c r="J50" s="180">
        <f t="shared" si="12"/>
        <v>65293900</v>
      </c>
      <c r="K50" s="181">
        <f t="shared" si="12"/>
        <v>83407173</v>
      </c>
    </row>
    <row r="51" spans="1:11" ht="15" customHeight="1" x14ac:dyDescent="0.25">
      <c r="A51" s="608" t="s">
        <v>112</v>
      </c>
      <c r="B51" s="611" t="s">
        <v>177</v>
      </c>
      <c r="C51" s="716" t="s">
        <v>178</v>
      </c>
      <c r="D51" s="617">
        <v>1</v>
      </c>
      <c r="E51" s="182" t="s">
        <v>139</v>
      </c>
      <c r="F51" s="183">
        <v>6803150</v>
      </c>
      <c r="G51" s="183">
        <v>260000</v>
      </c>
      <c r="H51" s="183">
        <f>57354199</f>
        <v>57354199</v>
      </c>
      <c r="I51" s="183">
        <v>30000000</v>
      </c>
      <c r="J51" s="184">
        <v>27483222</v>
      </c>
      <c r="K51" s="185">
        <f>F51+G51+H51+I51+J51</f>
        <v>121900571</v>
      </c>
    </row>
    <row r="52" spans="1:11" ht="15" customHeight="1" x14ac:dyDescent="0.25">
      <c r="A52" s="609"/>
      <c r="B52" s="612"/>
      <c r="C52" s="717"/>
      <c r="D52" s="607"/>
      <c r="E52" s="164" t="s">
        <v>140</v>
      </c>
      <c r="F52" s="195">
        <v>9097333</v>
      </c>
      <c r="G52" s="195">
        <v>1202653</v>
      </c>
      <c r="H52" s="195">
        <v>600000</v>
      </c>
      <c r="I52" s="195">
        <v>0</v>
      </c>
      <c r="J52" s="188">
        <v>0</v>
      </c>
      <c r="K52" s="189">
        <f>F52+G52+H52+I52+J52</f>
        <v>10899986</v>
      </c>
    </row>
    <row r="53" spans="1:11" ht="15" customHeight="1" thickBot="1" x14ac:dyDescent="0.3">
      <c r="A53" s="610"/>
      <c r="B53" s="613"/>
      <c r="C53" s="718"/>
      <c r="D53" s="618"/>
      <c r="E53" s="209" t="s">
        <v>138</v>
      </c>
      <c r="F53" s="180">
        <f t="shared" ref="F53:K53" si="13">SUM(F51:F52)</f>
        <v>15900483</v>
      </c>
      <c r="G53" s="180">
        <f t="shared" si="13"/>
        <v>1462653</v>
      </c>
      <c r="H53" s="180">
        <f t="shared" si="13"/>
        <v>57954199</v>
      </c>
      <c r="I53" s="180">
        <f t="shared" si="13"/>
        <v>30000000</v>
      </c>
      <c r="J53" s="180">
        <f t="shared" si="13"/>
        <v>27483222</v>
      </c>
      <c r="K53" s="181">
        <f t="shared" si="13"/>
        <v>132800557</v>
      </c>
    </row>
    <row r="54" spans="1:11" ht="15" customHeight="1" x14ac:dyDescent="0.25">
      <c r="A54" s="608" t="s">
        <v>114</v>
      </c>
      <c r="B54" s="611" t="s">
        <v>179</v>
      </c>
      <c r="C54" s="716" t="s">
        <v>180</v>
      </c>
      <c r="D54" s="617">
        <v>1</v>
      </c>
      <c r="E54" s="182" t="s">
        <v>139</v>
      </c>
      <c r="F54" s="172">
        <f>1000000+6000000+10000000</f>
        <v>17000000</v>
      </c>
      <c r="G54" s="172">
        <v>250000</v>
      </c>
      <c r="H54" s="172">
        <f>36073888-6000000-10000000-8706083</f>
        <v>11367805</v>
      </c>
      <c r="I54" s="183">
        <v>0</v>
      </c>
      <c r="J54" s="184">
        <v>26230600</v>
      </c>
      <c r="K54" s="185">
        <f>F54+G54+H54+I54+J54</f>
        <v>54848405</v>
      </c>
    </row>
    <row r="55" spans="1:11" ht="15" customHeight="1" x14ac:dyDescent="0.25">
      <c r="A55" s="609"/>
      <c r="B55" s="612"/>
      <c r="C55" s="717"/>
      <c r="D55" s="607"/>
      <c r="E55" s="164" t="s">
        <v>140</v>
      </c>
      <c r="F55" s="177">
        <f>9598588+7683638</f>
        <v>17282226</v>
      </c>
      <c r="G55" s="177">
        <f>1343817+1022445</f>
        <v>2366262</v>
      </c>
      <c r="H55" s="177">
        <v>500000</v>
      </c>
      <c r="I55" s="195">
        <v>0</v>
      </c>
      <c r="J55" s="188">
        <v>0</v>
      </c>
      <c r="K55" s="189">
        <f>F55+G55+H55+I55+J55</f>
        <v>20148488</v>
      </c>
    </row>
    <row r="56" spans="1:11" ht="15" customHeight="1" thickBot="1" x14ac:dyDescent="0.3">
      <c r="A56" s="610"/>
      <c r="B56" s="613"/>
      <c r="C56" s="718"/>
      <c r="D56" s="618"/>
      <c r="E56" s="209" t="s">
        <v>138</v>
      </c>
      <c r="F56" s="180">
        <f t="shared" ref="F56:K56" si="14">SUM(F54:F55)</f>
        <v>34282226</v>
      </c>
      <c r="G56" s="180">
        <f t="shared" si="14"/>
        <v>2616262</v>
      </c>
      <c r="H56" s="180">
        <f t="shared" si="14"/>
        <v>11867805</v>
      </c>
      <c r="I56" s="180">
        <f t="shared" si="14"/>
        <v>0</v>
      </c>
      <c r="J56" s="180">
        <f t="shared" si="14"/>
        <v>26230600</v>
      </c>
      <c r="K56" s="181">
        <f t="shared" si="14"/>
        <v>74996893</v>
      </c>
    </row>
    <row r="57" spans="1:11" ht="15" customHeight="1" x14ac:dyDescent="0.25">
      <c r="A57" s="609" t="s">
        <v>116</v>
      </c>
      <c r="B57" s="626" t="s">
        <v>154</v>
      </c>
      <c r="C57" s="615" t="s">
        <v>155</v>
      </c>
      <c r="D57" s="607">
        <v>1</v>
      </c>
      <c r="E57" s="186" t="s">
        <v>139</v>
      </c>
      <c r="F57" s="192">
        <v>0</v>
      </c>
      <c r="G57" s="192">
        <v>0</v>
      </c>
      <c r="H57" s="192">
        <v>0</v>
      </c>
      <c r="I57" s="192">
        <v>116794</v>
      </c>
      <c r="J57" s="193">
        <v>0</v>
      </c>
      <c r="K57" s="189">
        <f>F57+G57+H57+I57+J57</f>
        <v>116794</v>
      </c>
    </row>
    <row r="58" spans="1:11" ht="15" customHeight="1" x14ac:dyDescent="0.25">
      <c r="A58" s="609"/>
      <c r="B58" s="626"/>
      <c r="C58" s="615"/>
      <c r="D58" s="607"/>
      <c r="E58" s="164" t="s">
        <v>140</v>
      </c>
      <c r="F58" s="195">
        <v>88355</v>
      </c>
      <c r="G58" s="195">
        <v>11486</v>
      </c>
      <c r="H58" s="195">
        <v>0</v>
      </c>
      <c r="I58" s="195">
        <v>0</v>
      </c>
      <c r="J58" s="188">
        <v>0</v>
      </c>
      <c r="K58" s="189">
        <f>F58+G58+H58+I58+J58</f>
        <v>99841</v>
      </c>
    </row>
    <row r="59" spans="1:11" ht="15" customHeight="1" thickBot="1" x14ac:dyDescent="0.3">
      <c r="A59" s="610"/>
      <c r="B59" s="627"/>
      <c r="C59" s="616"/>
      <c r="D59" s="618"/>
      <c r="E59" s="209" t="s">
        <v>138</v>
      </c>
      <c r="F59" s="180">
        <f t="shared" ref="F59:K59" si="15">SUM(F57:F58)</f>
        <v>88355</v>
      </c>
      <c r="G59" s="180">
        <f t="shared" si="15"/>
        <v>11486</v>
      </c>
      <c r="H59" s="180">
        <f t="shared" si="15"/>
        <v>0</v>
      </c>
      <c r="I59" s="180">
        <f t="shared" si="15"/>
        <v>116794</v>
      </c>
      <c r="J59" s="180">
        <f t="shared" si="15"/>
        <v>0</v>
      </c>
      <c r="K59" s="181">
        <f t="shared" si="15"/>
        <v>216635</v>
      </c>
    </row>
    <row r="60" spans="1:11" ht="15" customHeight="1" x14ac:dyDescent="0.25">
      <c r="A60" s="608" t="s">
        <v>120</v>
      </c>
      <c r="B60" s="611" t="s">
        <v>156</v>
      </c>
      <c r="C60" s="614" t="s">
        <v>157</v>
      </c>
      <c r="D60" s="617">
        <v>1</v>
      </c>
      <c r="E60" s="182" t="s">
        <v>139</v>
      </c>
      <c r="F60" s="183">
        <v>0</v>
      </c>
      <c r="G60" s="183">
        <v>0</v>
      </c>
      <c r="H60" s="183">
        <v>0</v>
      </c>
      <c r="I60" s="172">
        <v>19099</v>
      </c>
      <c r="J60" s="184">
        <v>0</v>
      </c>
      <c r="K60" s="185">
        <f>F60+G60+H60+I60+J60</f>
        <v>19099</v>
      </c>
    </row>
    <row r="61" spans="1:11" ht="15" customHeight="1" x14ac:dyDescent="0.25">
      <c r="A61" s="609"/>
      <c r="B61" s="612"/>
      <c r="C61" s="615"/>
      <c r="D61" s="607"/>
      <c r="E61" s="164" t="s">
        <v>140</v>
      </c>
      <c r="F61" s="195">
        <v>217799</v>
      </c>
      <c r="G61" s="195">
        <v>28313</v>
      </c>
      <c r="H61" s="195">
        <v>0</v>
      </c>
      <c r="I61" s="177">
        <v>0</v>
      </c>
      <c r="J61" s="188">
        <v>0</v>
      </c>
      <c r="K61" s="189">
        <f>F61+G61+H61+I61+J61</f>
        <v>246112</v>
      </c>
    </row>
    <row r="62" spans="1:11" ht="15" customHeight="1" thickBot="1" x14ac:dyDescent="0.3">
      <c r="A62" s="610"/>
      <c r="B62" s="613"/>
      <c r="C62" s="616"/>
      <c r="D62" s="618"/>
      <c r="E62" s="209" t="s">
        <v>138</v>
      </c>
      <c r="F62" s="180">
        <f t="shared" ref="F62:K62" si="16">SUM(F60:F61)</f>
        <v>217799</v>
      </c>
      <c r="G62" s="180">
        <f t="shared" si="16"/>
        <v>28313</v>
      </c>
      <c r="H62" s="180">
        <f t="shared" si="16"/>
        <v>0</v>
      </c>
      <c r="I62" s="180">
        <f t="shared" si="16"/>
        <v>19099</v>
      </c>
      <c r="J62" s="180">
        <f t="shared" si="16"/>
        <v>0</v>
      </c>
      <c r="K62" s="181">
        <f t="shared" si="16"/>
        <v>265211</v>
      </c>
    </row>
    <row r="63" spans="1:11" ht="15" customHeight="1" x14ac:dyDescent="0.25">
      <c r="A63" s="608" t="s">
        <v>121</v>
      </c>
      <c r="B63" s="611" t="s">
        <v>158</v>
      </c>
      <c r="C63" s="614" t="s">
        <v>159</v>
      </c>
      <c r="D63" s="617">
        <v>1</v>
      </c>
      <c r="E63" s="182" t="s">
        <v>139</v>
      </c>
      <c r="F63" s="183">
        <v>0</v>
      </c>
      <c r="G63" s="183">
        <v>0</v>
      </c>
      <c r="H63" s="183">
        <v>0</v>
      </c>
      <c r="I63" s="183">
        <v>0</v>
      </c>
      <c r="J63" s="184">
        <v>0</v>
      </c>
      <c r="K63" s="185">
        <f>F63+G63+H63+I63+J63</f>
        <v>0</v>
      </c>
    </row>
    <row r="64" spans="1:11" ht="15" customHeight="1" x14ac:dyDescent="0.25">
      <c r="A64" s="609"/>
      <c r="B64" s="612"/>
      <c r="C64" s="615"/>
      <c r="D64" s="607"/>
      <c r="E64" s="164" t="s">
        <v>140</v>
      </c>
      <c r="F64" s="195">
        <v>89707</v>
      </c>
      <c r="G64" s="195">
        <v>11662</v>
      </c>
      <c r="H64" s="195">
        <v>0</v>
      </c>
      <c r="I64" s="195">
        <v>0</v>
      </c>
      <c r="J64" s="188">
        <v>0</v>
      </c>
      <c r="K64" s="189">
        <f>F64+G64+H64+I64+J64</f>
        <v>101369</v>
      </c>
    </row>
    <row r="65" spans="1:11" ht="15" customHeight="1" thickBot="1" x14ac:dyDescent="0.3">
      <c r="A65" s="610"/>
      <c r="B65" s="613"/>
      <c r="C65" s="616"/>
      <c r="D65" s="618"/>
      <c r="E65" s="209" t="s">
        <v>138</v>
      </c>
      <c r="F65" s="180">
        <f t="shared" ref="F65:K65" si="17">SUM(F63:F64)</f>
        <v>89707</v>
      </c>
      <c r="G65" s="180">
        <f t="shared" si="17"/>
        <v>11662</v>
      </c>
      <c r="H65" s="180">
        <f t="shared" si="17"/>
        <v>0</v>
      </c>
      <c r="I65" s="180">
        <f t="shared" si="17"/>
        <v>0</v>
      </c>
      <c r="J65" s="180">
        <f t="shared" si="17"/>
        <v>0</v>
      </c>
      <c r="K65" s="181">
        <f t="shared" si="17"/>
        <v>101369</v>
      </c>
    </row>
    <row r="66" spans="1:11" ht="15" customHeight="1" x14ac:dyDescent="0.25">
      <c r="A66" s="608" t="s">
        <v>122</v>
      </c>
      <c r="B66" s="612" t="s">
        <v>160</v>
      </c>
      <c r="C66" s="615" t="s">
        <v>161</v>
      </c>
      <c r="D66" s="607">
        <v>1</v>
      </c>
      <c r="E66" s="182" t="s">
        <v>139</v>
      </c>
      <c r="F66" s="183">
        <v>0</v>
      </c>
      <c r="G66" s="183">
        <v>0</v>
      </c>
      <c r="H66" s="183">
        <v>0</v>
      </c>
      <c r="I66" s="183">
        <f>847500+97348</f>
        <v>944848</v>
      </c>
      <c r="J66" s="184">
        <v>0</v>
      </c>
      <c r="K66" s="189">
        <f>F66+G66+H66+I66+J66</f>
        <v>944848</v>
      </c>
    </row>
    <row r="67" spans="1:11" ht="15" customHeight="1" x14ac:dyDescent="0.25">
      <c r="A67" s="609"/>
      <c r="B67" s="612"/>
      <c r="C67" s="615"/>
      <c r="D67" s="607"/>
      <c r="E67" s="164" t="s">
        <v>140</v>
      </c>
      <c r="F67" s="195">
        <v>107198</v>
      </c>
      <c r="G67" s="195">
        <v>13935</v>
      </c>
      <c r="H67" s="195">
        <v>0</v>
      </c>
      <c r="I67" s="195">
        <v>0</v>
      </c>
      <c r="J67" s="188">
        <v>0</v>
      </c>
      <c r="K67" s="189">
        <f>F67+G67+H67+I67+J67</f>
        <v>121133</v>
      </c>
    </row>
    <row r="68" spans="1:11" ht="15" customHeight="1" thickBot="1" x14ac:dyDescent="0.3">
      <c r="A68" s="609"/>
      <c r="B68" s="612"/>
      <c r="C68" s="615"/>
      <c r="D68" s="607"/>
      <c r="E68" s="318" t="s">
        <v>138</v>
      </c>
      <c r="F68" s="196">
        <f t="shared" ref="F68:K68" si="18">SUM(F66:F67)</f>
        <v>107198</v>
      </c>
      <c r="G68" s="196">
        <f t="shared" si="18"/>
        <v>13935</v>
      </c>
      <c r="H68" s="196">
        <f t="shared" si="18"/>
        <v>0</v>
      </c>
      <c r="I68" s="196">
        <f t="shared" si="18"/>
        <v>944848</v>
      </c>
      <c r="J68" s="196">
        <f t="shared" si="18"/>
        <v>0</v>
      </c>
      <c r="K68" s="197">
        <f t="shared" si="18"/>
        <v>1065981</v>
      </c>
    </row>
    <row r="69" spans="1:11" ht="15" customHeight="1" x14ac:dyDescent="0.25">
      <c r="A69" s="608" t="s">
        <v>123</v>
      </c>
      <c r="B69" s="611" t="s">
        <v>162</v>
      </c>
      <c r="C69" s="614" t="s">
        <v>163</v>
      </c>
      <c r="D69" s="617">
        <v>1</v>
      </c>
      <c r="E69" s="182" t="s">
        <v>139</v>
      </c>
      <c r="F69" s="172">
        <v>0</v>
      </c>
      <c r="G69" s="172">
        <v>0</v>
      </c>
      <c r="H69" s="172">
        <v>0</v>
      </c>
      <c r="I69" s="172">
        <f>360103+175200</f>
        <v>535303</v>
      </c>
      <c r="J69" s="173">
        <v>0</v>
      </c>
      <c r="K69" s="174">
        <f>F69+G69+H69+I69+J69</f>
        <v>535303</v>
      </c>
    </row>
    <row r="70" spans="1:11" ht="15" customHeight="1" x14ac:dyDescent="0.25">
      <c r="A70" s="609"/>
      <c r="B70" s="612"/>
      <c r="C70" s="615"/>
      <c r="D70" s="607"/>
      <c r="E70" s="164" t="s">
        <v>140</v>
      </c>
      <c r="F70" s="195">
        <v>129710</v>
      </c>
      <c r="G70" s="195">
        <v>16863</v>
      </c>
      <c r="H70" s="195">
        <v>0</v>
      </c>
      <c r="I70" s="195">
        <v>0</v>
      </c>
      <c r="J70" s="188">
        <v>0</v>
      </c>
      <c r="K70" s="189">
        <f>F70+G70+H70+I70+J70</f>
        <v>146573</v>
      </c>
    </row>
    <row r="71" spans="1:11" ht="15" customHeight="1" thickBot="1" x14ac:dyDescent="0.3">
      <c r="A71" s="610"/>
      <c r="B71" s="613"/>
      <c r="C71" s="616"/>
      <c r="D71" s="618"/>
      <c r="E71" s="209" t="s">
        <v>138</v>
      </c>
      <c r="F71" s="180">
        <f t="shared" ref="F71:K71" si="19">SUM(F69:F70)</f>
        <v>129710</v>
      </c>
      <c r="G71" s="180">
        <f t="shared" si="19"/>
        <v>16863</v>
      </c>
      <c r="H71" s="180">
        <f t="shared" si="19"/>
        <v>0</v>
      </c>
      <c r="I71" s="180">
        <f t="shared" si="19"/>
        <v>535303</v>
      </c>
      <c r="J71" s="180">
        <f t="shared" si="19"/>
        <v>0</v>
      </c>
      <c r="K71" s="181">
        <f t="shared" si="19"/>
        <v>681876</v>
      </c>
    </row>
    <row r="72" spans="1:11" ht="15" customHeight="1" x14ac:dyDescent="0.25">
      <c r="A72" s="608" t="s">
        <v>124</v>
      </c>
      <c r="B72" s="611" t="s">
        <v>164</v>
      </c>
      <c r="C72" s="614" t="s">
        <v>165</v>
      </c>
      <c r="D72" s="617">
        <v>1</v>
      </c>
      <c r="E72" s="182" t="s">
        <v>139</v>
      </c>
      <c r="F72" s="183">
        <v>0</v>
      </c>
      <c r="G72" s="183">
        <v>0</v>
      </c>
      <c r="H72" s="183">
        <v>0</v>
      </c>
      <c r="I72" s="172">
        <f>20855+75200</f>
        <v>96055</v>
      </c>
      <c r="J72" s="184">
        <v>0</v>
      </c>
      <c r="K72" s="185">
        <f>F72+G72+H72+I72+J72</f>
        <v>96055</v>
      </c>
    </row>
    <row r="73" spans="1:11" ht="15" customHeight="1" x14ac:dyDescent="0.25">
      <c r="A73" s="609"/>
      <c r="B73" s="612"/>
      <c r="C73" s="615"/>
      <c r="D73" s="607"/>
      <c r="E73" s="164" t="s">
        <v>140</v>
      </c>
      <c r="F73" s="195">
        <v>196425</v>
      </c>
      <c r="G73" s="195">
        <v>25536</v>
      </c>
      <c r="H73" s="195">
        <v>0</v>
      </c>
      <c r="I73" s="195">
        <v>0</v>
      </c>
      <c r="J73" s="188">
        <v>0</v>
      </c>
      <c r="K73" s="189">
        <f>F73+G73+H73+I73+J73</f>
        <v>221961</v>
      </c>
    </row>
    <row r="74" spans="1:11" ht="15" customHeight="1" thickBot="1" x14ac:dyDescent="0.3">
      <c r="A74" s="610"/>
      <c r="B74" s="613"/>
      <c r="C74" s="616"/>
      <c r="D74" s="618"/>
      <c r="E74" s="209" t="s">
        <v>138</v>
      </c>
      <c r="F74" s="180">
        <f t="shared" ref="F74:K74" si="20">SUM(F72:F73)</f>
        <v>196425</v>
      </c>
      <c r="G74" s="180">
        <f t="shared" si="20"/>
        <v>25536</v>
      </c>
      <c r="H74" s="180">
        <f t="shared" si="20"/>
        <v>0</v>
      </c>
      <c r="I74" s="180">
        <f t="shared" si="20"/>
        <v>96055</v>
      </c>
      <c r="J74" s="180">
        <f t="shared" si="20"/>
        <v>0</v>
      </c>
      <c r="K74" s="181">
        <f t="shared" si="20"/>
        <v>318016</v>
      </c>
    </row>
    <row r="75" spans="1:11" ht="15" customHeight="1" x14ac:dyDescent="0.25">
      <c r="A75" s="619" t="s">
        <v>166</v>
      </c>
      <c r="B75" s="620"/>
      <c r="C75" s="620"/>
      <c r="D75" s="621"/>
      <c r="E75" s="198" t="s">
        <v>139</v>
      </c>
      <c r="F75" s="199">
        <f>F12+F15+F18+F21+F24+F27+F30+F33+F36+F39+F42+F45+F48+F51+F54+F57+F60+F63+F66+F69+F72</f>
        <v>200037247</v>
      </c>
      <c r="G75" s="199">
        <f t="shared" ref="G75:K76" si="21">G12+G15+G18+G21+G24+G27+G30+G33+G36+G39+G42+G45+G48+G51+G54+G57+G60+G63+G66+G69+G72</f>
        <v>4942902</v>
      </c>
      <c r="H75" s="199">
        <f t="shared" si="21"/>
        <v>444828340</v>
      </c>
      <c r="I75" s="199">
        <f t="shared" si="21"/>
        <v>31712099</v>
      </c>
      <c r="J75" s="199">
        <f t="shared" si="21"/>
        <v>190588226</v>
      </c>
      <c r="K75" s="200">
        <f t="shared" si="21"/>
        <v>872108814</v>
      </c>
    </row>
    <row r="76" spans="1:11" ht="15" customHeight="1" x14ac:dyDescent="0.25">
      <c r="A76" s="622"/>
      <c r="B76" s="623"/>
      <c r="C76" s="623"/>
      <c r="D76" s="624"/>
      <c r="E76" s="201" t="s">
        <v>140</v>
      </c>
      <c r="F76" s="202">
        <f>F13+F16+F19+F22+F25+F28+F31+F34+F37+F40+F43+F46+F49+F52+F55+F58+F61+F64+F67+F70+F73</f>
        <v>196023153</v>
      </c>
      <c r="G76" s="202">
        <f t="shared" si="21"/>
        <v>26445514</v>
      </c>
      <c r="H76" s="202">
        <f t="shared" si="21"/>
        <v>13049749</v>
      </c>
      <c r="I76" s="202">
        <f t="shared" si="21"/>
        <v>0</v>
      </c>
      <c r="J76" s="202">
        <f t="shared" si="21"/>
        <v>1728000</v>
      </c>
      <c r="K76" s="203">
        <f t="shared" si="21"/>
        <v>237246416</v>
      </c>
    </row>
    <row r="77" spans="1:11" ht="15" customHeight="1" thickBot="1" x14ac:dyDescent="0.3">
      <c r="A77" s="579"/>
      <c r="B77" s="580"/>
      <c r="C77" s="580"/>
      <c r="D77" s="625"/>
      <c r="E77" s="204" t="s">
        <v>138</v>
      </c>
      <c r="F77" s="205">
        <f>SUM(F75:F76)</f>
        <v>396060400</v>
      </c>
      <c r="G77" s="205">
        <f>SUM(G75:G76)</f>
        <v>31388416</v>
      </c>
      <c r="H77" s="205">
        <f>SUM(H75:H76)</f>
        <v>457878089</v>
      </c>
      <c r="I77" s="205">
        <f>SUM(I75:I76)</f>
        <v>31712099</v>
      </c>
      <c r="J77" s="205">
        <f t="shared" ref="J77:K77" si="22">SUM(J75:J76)</f>
        <v>192316226</v>
      </c>
      <c r="K77" s="206">
        <f t="shared" si="22"/>
        <v>1109355230</v>
      </c>
    </row>
  </sheetData>
  <mergeCells count="100">
    <mergeCell ref="A7:K7"/>
    <mergeCell ref="A12:A14"/>
    <mergeCell ref="B12:B14"/>
    <mergeCell ref="C12:C14"/>
    <mergeCell ref="D12:D14"/>
    <mergeCell ref="E1:K1"/>
    <mergeCell ref="E2:K2"/>
    <mergeCell ref="A4:K4"/>
    <mergeCell ref="A5:K5"/>
    <mergeCell ref="A6:K6"/>
    <mergeCell ref="A15:A17"/>
    <mergeCell ref="B15:B17"/>
    <mergeCell ref="C15:C17"/>
    <mergeCell ref="D15:D17"/>
    <mergeCell ref="J8:K8"/>
    <mergeCell ref="A9:A11"/>
    <mergeCell ref="B9:D9"/>
    <mergeCell ref="E9:K9"/>
    <mergeCell ref="B10:B11"/>
    <mergeCell ref="C10:C11"/>
    <mergeCell ref="D10:D11"/>
    <mergeCell ref="E10:E11"/>
    <mergeCell ref="F10:K10"/>
    <mergeCell ref="A18:A20"/>
    <mergeCell ref="B18:B20"/>
    <mergeCell ref="C18:C20"/>
    <mergeCell ref="D18:D20"/>
    <mergeCell ref="A21:A23"/>
    <mergeCell ref="B21:B23"/>
    <mergeCell ref="C21:C23"/>
    <mergeCell ref="D21:D23"/>
    <mergeCell ref="A24:A26"/>
    <mergeCell ref="B24:B26"/>
    <mergeCell ref="C24:C26"/>
    <mergeCell ref="D24:D26"/>
    <mergeCell ref="A27:A29"/>
    <mergeCell ref="B27:B29"/>
    <mergeCell ref="C27:C29"/>
    <mergeCell ref="D27:D29"/>
    <mergeCell ref="A30:A32"/>
    <mergeCell ref="B30:B32"/>
    <mergeCell ref="C30:C32"/>
    <mergeCell ref="D30:D32"/>
    <mergeCell ref="A33:A35"/>
    <mergeCell ref="B33:B35"/>
    <mergeCell ref="C33:C35"/>
    <mergeCell ref="D33:D35"/>
    <mergeCell ref="A36:A38"/>
    <mergeCell ref="B36:B38"/>
    <mergeCell ref="C36:C38"/>
    <mergeCell ref="D36:D38"/>
    <mergeCell ref="A39:A41"/>
    <mergeCell ref="B39:B41"/>
    <mergeCell ref="C39:C41"/>
    <mergeCell ref="D39:D41"/>
    <mergeCell ref="A42:A44"/>
    <mergeCell ref="B42:B44"/>
    <mergeCell ref="C42:C44"/>
    <mergeCell ref="D42:D44"/>
    <mergeCell ref="A45:A47"/>
    <mergeCell ref="B45:B47"/>
    <mergeCell ref="C45:C47"/>
    <mergeCell ref="D45:D47"/>
    <mergeCell ref="A48:A50"/>
    <mergeCell ref="B48:B50"/>
    <mergeCell ref="C48:C50"/>
    <mergeCell ref="D48:D50"/>
    <mergeCell ref="A51:A53"/>
    <mergeCell ref="B51:B53"/>
    <mergeCell ref="C51:C53"/>
    <mergeCell ref="D51:D53"/>
    <mergeCell ref="A54:A56"/>
    <mergeCell ref="B54:B56"/>
    <mergeCell ref="C54:C56"/>
    <mergeCell ref="D54:D56"/>
    <mergeCell ref="A57:A59"/>
    <mergeCell ref="B57:B59"/>
    <mergeCell ref="C57:C59"/>
    <mergeCell ref="D57:D59"/>
    <mergeCell ref="A75:D77"/>
    <mergeCell ref="A60:A62"/>
    <mergeCell ref="B60:B62"/>
    <mergeCell ref="C60:C62"/>
    <mergeCell ref="D60:D62"/>
    <mergeCell ref="A63:A65"/>
    <mergeCell ref="B63:B65"/>
    <mergeCell ref="C63:C65"/>
    <mergeCell ref="D63:D65"/>
    <mergeCell ref="A72:A74"/>
    <mergeCell ref="B72:B74"/>
    <mergeCell ref="C72:C74"/>
    <mergeCell ref="D72:D74"/>
    <mergeCell ref="A66:A68"/>
    <mergeCell ref="B66:B68"/>
    <mergeCell ref="C66:C68"/>
    <mergeCell ref="D66:D68"/>
    <mergeCell ref="A69:A71"/>
    <mergeCell ref="B69:B71"/>
    <mergeCell ref="C69:C71"/>
    <mergeCell ref="D69:D7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4" orientation="landscape" horizontalDpi="300" verticalDpi="300" r:id="rId1"/>
  <rowBreaks count="1" manualBreakCount="1">
    <brk id="4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33E3A-8405-4946-8F5F-D6530CBFE96C}">
  <sheetPr>
    <tabColor rgb="FF92D050"/>
  </sheetPr>
  <dimension ref="A1:F23"/>
  <sheetViews>
    <sheetView workbookViewId="0">
      <selection activeCell="B27" sqref="B27"/>
    </sheetView>
  </sheetViews>
  <sheetFormatPr defaultRowHeight="15.75" x14ac:dyDescent="0.25"/>
  <cols>
    <col min="1" max="1" width="5.42578125" style="159" customWidth="1"/>
    <col min="2" max="2" width="90.7109375" style="330" customWidth="1"/>
    <col min="3" max="6" width="11.7109375" style="3" customWidth="1"/>
    <col min="7" max="16384" width="9.140625" style="3"/>
  </cols>
  <sheetData>
    <row r="1" spans="1:6" ht="14.25" x14ac:dyDescent="0.2">
      <c r="A1" s="485" t="s">
        <v>183</v>
      </c>
      <c r="B1" s="485"/>
      <c r="C1" s="485"/>
      <c r="D1" s="485"/>
      <c r="E1" s="485"/>
      <c r="F1" s="485"/>
    </row>
    <row r="2" spans="1:6" ht="14.25" x14ac:dyDescent="0.2">
      <c r="A2" s="485" t="s">
        <v>211</v>
      </c>
      <c r="B2" s="485"/>
      <c r="C2" s="485"/>
      <c r="D2" s="485"/>
      <c r="E2" s="485"/>
      <c r="F2" s="485"/>
    </row>
    <row r="3" spans="1:6" x14ac:dyDescent="0.25">
      <c r="A3" s="319"/>
      <c r="B3" s="309"/>
    </row>
    <row r="4" spans="1:6" x14ac:dyDescent="0.25">
      <c r="A4" s="476" t="s">
        <v>187</v>
      </c>
      <c r="B4" s="476"/>
      <c r="C4" s="476"/>
      <c r="D4" s="476"/>
      <c r="E4" s="476"/>
      <c r="F4" s="476"/>
    </row>
    <row r="5" spans="1:6" x14ac:dyDescent="0.2">
      <c r="A5" s="656" t="s">
        <v>212</v>
      </c>
      <c r="B5" s="656"/>
      <c r="C5" s="656"/>
      <c r="D5" s="656"/>
      <c r="E5" s="656"/>
      <c r="F5" s="656"/>
    </row>
    <row r="6" spans="1:6" x14ac:dyDescent="0.25">
      <c r="A6" s="476" t="s">
        <v>188</v>
      </c>
      <c r="B6" s="476"/>
      <c r="C6" s="476"/>
      <c r="D6" s="476"/>
      <c r="E6" s="476"/>
      <c r="F6" s="476"/>
    </row>
    <row r="7" spans="1:6" ht="15" customHeight="1" x14ac:dyDescent="0.25">
      <c r="A7" s="476" t="s">
        <v>189</v>
      </c>
      <c r="B7" s="476"/>
      <c r="C7" s="476"/>
      <c r="D7" s="476"/>
      <c r="E7" s="476"/>
      <c r="F7" s="476"/>
    </row>
    <row r="8" spans="1:6" ht="16.5" thickBot="1" x14ac:dyDescent="0.3">
      <c r="B8" s="320"/>
      <c r="C8" s="657" t="s">
        <v>95</v>
      </c>
      <c r="D8" s="657"/>
      <c r="E8" s="657"/>
      <c r="F8" s="657"/>
    </row>
    <row r="9" spans="1:6" ht="15" customHeight="1" x14ac:dyDescent="0.2">
      <c r="A9" s="658" t="s">
        <v>96</v>
      </c>
      <c r="B9" s="661" t="s">
        <v>213</v>
      </c>
      <c r="C9" s="664" t="s">
        <v>28</v>
      </c>
      <c r="D9" s="653" t="s">
        <v>98</v>
      </c>
      <c r="E9" s="653" t="s">
        <v>87</v>
      </c>
      <c r="F9" s="667" t="s">
        <v>98</v>
      </c>
    </row>
    <row r="10" spans="1:6" ht="15" customHeight="1" x14ac:dyDescent="0.2">
      <c r="A10" s="659"/>
      <c r="B10" s="662"/>
      <c r="C10" s="665" t="s">
        <v>98</v>
      </c>
      <c r="D10" s="654" t="s">
        <v>98</v>
      </c>
      <c r="E10" s="654" t="s">
        <v>98</v>
      </c>
      <c r="F10" s="668" t="s">
        <v>98</v>
      </c>
    </row>
    <row r="11" spans="1:6" ht="13.5" customHeight="1" thickBot="1" x14ac:dyDescent="0.25">
      <c r="A11" s="660"/>
      <c r="B11" s="663"/>
      <c r="C11" s="666" t="s">
        <v>98</v>
      </c>
      <c r="D11" s="655" t="s">
        <v>98</v>
      </c>
      <c r="E11" s="655" t="s">
        <v>98</v>
      </c>
      <c r="F11" s="669" t="s">
        <v>98</v>
      </c>
    </row>
    <row r="12" spans="1:6" ht="20.100000000000001" customHeight="1" x14ac:dyDescent="0.2">
      <c r="A12" s="360" t="s">
        <v>1</v>
      </c>
      <c r="B12" s="361" t="s">
        <v>214</v>
      </c>
      <c r="C12" s="362">
        <v>4000000</v>
      </c>
      <c r="D12" s="362">
        <v>6000000</v>
      </c>
      <c r="E12" s="363">
        <v>0</v>
      </c>
      <c r="F12" s="364">
        <f>D12+E12</f>
        <v>6000000</v>
      </c>
    </row>
    <row r="13" spans="1:6" ht="20.100000000000001" customHeight="1" x14ac:dyDescent="0.2">
      <c r="A13" s="322" t="s">
        <v>2</v>
      </c>
      <c r="B13" s="357" t="s">
        <v>215</v>
      </c>
      <c r="C13" s="323">
        <v>1054500</v>
      </c>
      <c r="D13" s="323">
        <v>1054500</v>
      </c>
      <c r="E13" s="162">
        <v>0</v>
      </c>
      <c r="F13" s="321">
        <f t="shared" ref="F13:F18" si="0">D13+E13</f>
        <v>1054500</v>
      </c>
    </row>
    <row r="14" spans="1:6" ht="20.100000000000001" customHeight="1" x14ac:dyDescent="0.2">
      <c r="A14" s="161" t="s">
        <v>4</v>
      </c>
      <c r="B14" s="357" t="s">
        <v>216</v>
      </c>
      <c r="C14" s="323">
        <v>50000</v>
      </c>
      <c r="D14" s="323">
        <v>50000</v>
      </c>
      <c r="E14" s="162">
        <v>0</v>
      </c>
      <c r="F14" s="321">
        <f t="shared" si="0"/>
        <v>50000</v>
      </c>
    </row>
    <row r="15" spans="1:6" ht="20.100000000000001" customHeight="1" x14ac:dyDescent="0.2">
      <c r="A15" s="322" t="s">
        <v>101</v>
      </c>
      <c r="B15" s="358" t="s">
        <v>217</v>
      </c>
      <c r="C15" s="324">
        <v>50000</v>
      </c>
      <c r="D15" s="324">
        <v>50000</v>
      </c>
      <c r="E15" s="162">
        <v>0</v>
      </c>
      <c r="F15" s="321">
        <f t="shared" si="0"/>
        <v>50000</v>
      </c>
    </row>
    <row r="16" spans="1:6" ht="20.100000000000001" customHeight="1" x14ac:dyDescent="0.2">
      <c r="A16" s="325" t="s">
        <v>102</v>
      </c>
      <c r="B16" s="359" t="s">
        <v>218</v>
      </c>
      <c r="C16" s="324">
        <v>113000</v>
      </c>
      <c r="D16" s="324">
        <v>113000</v>
      </c>
      <c r="E16" s="163">
        <v>1001000</v>
      </c>
      <c r="F16" s="321">
        <f t="shared" si="0"/>
        <v>1114000</v>
      </c>
    </row>
    <row r="17" spans="1:6" ht="20.100000000000001" customHeight="1" x14ac:dyDescent="0.2">
      <c r="A17" s="161" t="s">
        <v>103</v>
      </c>
      <c r="B17" s="378" t="s">
        <v>219</v>
      </c>
      <c r="C17" s="162">
        <v>0</v>
      </c>
      <c r="D17" s="162">
        <v>100000</v>
      </c>
      <c r="E17" s="162">
        <v>0</v>
      </c>
      <c r="F17" s="379">
        <f t="shared" si="0"/>
        <v>100000</v>
      </c>
    </row>
    <row r="18" spans="1:6" ht="20.100000000000001" customHeight="1" thickBot="1" x14ac:dyDescent="0.25">
      <c r="A18" s="380" t="s">
        <v>105</v>
      </c>
      <c r="B18" s="377" t="s">
        <v>264</v>
      </c>
      <c r="C18" s="381">
        <v>0</v>
      </c>
      <c r="D18" s="381">
        <v>0</v>
      </c>
      <c r="E18" s="381">
        <v>5579842</v>
      </c>
      <c r="F18" s="382">
        <f t="shared" si="0"/>
        <v>5579842</v>
      </c>
    </row>
    <row r="19" spans="1:6" ht="20.100000000000001" customHeight="1" thickBot="1" x14ac:dyDescent="0.25">
      <c r="A19" s="651" t="s">
        <v>220</v>
      </c>
      <c r="B19" s="652"/>
      <c r="C19" s="326">
        <f>SUM(C12:C18)</f>
        <v>5267500</v>
      </c>
      <c r="D19" s="326">
        <f>SUM(D12:D18)</f>
        <v>7367500</v>
      </c>
      <c r="E19" s="326">
        <f>SUM(E12:E18)</f>
        <v>6580842</v>
      </c>
      <c r="F19" s="327">
        <f>SUM(F12:F18)</f>
        <v>13948342</v>
      </c>
    </row>
    <row r="20" spans="1:6" ht="18.75" x14ac:dyDescent="0.3">
      <c r="A20" s="328"/>
      <c r="B20" s="329"/>
    </row>
    <row r="21" spans="1:6" x14ac:dyDescent="0.25">
      <c r="C21" s="331"/>
      <c r="D21" s="331"/>
    </row>
    <row r="22" spans="1:6" ht="23.25" x14ac:dyDescent="0.35">
      <c r="B22" s="332"/>
    </row>
    <row r="23" spans="1:6" x14ac:dyDescent="0.25">
      <c r="C23" s="331"/>
      <c r="D23" s="331"/>
    </row>
  </sheetData>
  <mergeCells count="14">
    <mergeCell ref="A19:B19"/>
    <mergeCell ref="A7:F7"/>
    <mergeCell ref="D9:D11"/>
    <mergeCell ref="A1:F1"/>
    <mergeCell ref="A2:F2"/>
    <mergeCell ref="A4:F4"/>
    <mergeCell ref="A5:F5"/>
    <mergeCell ref="A6:F6"/>
    <mergeCell ref="C8:F8"/>
    <mergeCell ref="A9:A11"/>
    <mergeCell ref="B9:B11"/>
    <mergeCell ref="C9:C11"/>
    <mergeCell ref="E9:E11"/>
    <mergeCell ref="F9:F11"/>
  </mergeCells>
  <pageMargins left="0.31496062992125984" right="0.31496062992125984" top="0.55118110236220474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DB79C-7402-4387-8FD3-D8FE48C89905}">
  <sheetPr>
    <tabColor rgb="FF92D050"/>
  </sheetPr>
  <dimension ref="A1:G45"/>
  <sheetViews>
    <sheetView topLeftCell="A19" zoomScaleNormal="100" workbookViewId="0">
      <selection activeCell="K30" sqref="K30"/>
    </sheetView>
  </sheetViews>
  <sheetFormatPr defaultColWidth="9.140625" defaultRowHeight="15.75" x14ac:dyDescent="0.25"/>
  <cols>
    <col min="1" max="1" width="5.42578125" style="159" customWidth="1"/>
    <col min="2" max="2" width="101.7109375" style="330" customWidth="1"/>
    <col min="3" max="4" width="12.7109375" style="160" customWidth="1"/>
    <col min="5" max="6" width="12.7109375" style="3" customWidth="1"/>
    <col min="7" max="16384" width="9.140625" style="3"/>
  </cols>
  <sheetData>
    <row r="1" spans="1:7" ht="14.25" x14ac:dyDescent="0.2">
      <c r="A1" s="485" t="s">
        <v>184</v>
      </c>
      <c r="B1" s="485"/>
      <c r="C1" s="485"/>
      <c r="D1" s="485"/>
      <c r="E1" s="485"/>
      <c r="F1" s="485"/>
      <c r="G1" s="28"/>
    </row>
    <row r="2" spans="1:7" ht="14.25" x14ac:dyDescent="0.2">
      <c r="A2" s="485" t="s">
        <v>222</v>
      </c>
      <c r="B2" s="485"/>
      <c r="C2" s="485"/>
      <c r="D2" s="485"/>
      <c r="E2" s="485"/>
      <c r="F2" s="485"/>
      <c r="G2" s="28"/>
    </row>
    <row r="3" spans="1:7" x14ac:dyDescent="0.25">
      <c r="A3" s="319"/>
      <c r="B3" s="309"/>
      <c r="C3" s="331"/>
      <c r="D3" s="331"/>
    </row>
    <row r="4" spans="1:7" x14ac:dyDescent="0.25">
      <c r="A4" s="476" t="s">
        <v>187</v>
      </c>
      <c r="B4" s="476"/>
      <c r="C4" s="476"/>
      <c r="D4" s="476"/>
      <c r="E4" s="476"/>
      <c r="F4" s="476"/>
    </row>
    <row r="5" spans="1:7" x14ac:dyDescent="0.25">
      <c r="A5" s="476" t="s">
        <v>223</v>
      </c>
      <c r="B5" s="476"/>
      <c r="C5" s="476"/>
      <c r="D5" s="476"/>
      <c r="E5" s="476"/>
      <c r="F5" s="476"/>
    </row>
    <row r="6" spans="1:7" x14ac:dyDescent="0.25">
      <c r="A6" s="476" t="s">
        <v>188</v>
      </c>
      <c r="B6" s="476"/>
      <c r="C6" s="476"/>
      <c r="D6" s="476"/>
      <c r="E6" s="476"/>
      <c r="F6" s="476"/>
    </row>
    <row r="7" spans="1:7" x14ac:dyDescent="0.25">
      <c r="A7" s="476" t="s">
        <v>189</v>
      </c>
      <c r="B7" s="476"/>
      <c r="C7" s="476"/>
      <c r="D7" s="476"/>
      <c r="E7" s="476"/>
      <c r="F7" s="476"/>
    </row>
    <row r="8" spans="1:7" ht="16.5" thickBot="1" x14ac:dyDescent="0.3">
      <c r="B8" s="320"/>
      <c r="F8" s="8" t="s">
        <v>95</v>
      </c>
    </row>
    <row r="9" spans="1:7" ht="15" customHeight="1" x14ac:dyDescent="0.2">
      <c r="A9" s="693" t="s">
        <v>96</v>
      </c>
      <c r="B9" s="661" t="s">
        <v>213</v>
      </c>
      <c r="C9" s="695" t="s">
        <v>28</v>
      </c>
      <c r="D9" s="691" t="s">
        <v>98</v>
      </c>
      <c r="E9" s="697" t="s">
        <v>87</v>
      </c>
      <c r="F9" s="687" t="s">
        <v>98</v>
      </c>
    </row>
    <row r="10" spans="1:7" ht="13.5" thickBot="1" x14ac:dyDescent="0.25">
      <c r="A10" s="694"/>
      <c r="B10" s="663"/>
      <c r="C10" s="696" t="s">
        <v>98</v>
      </c>
      <c r="D10" s="692" t="s">
        <v>98</v>
      </c>
      <c r="E10" s="698"/>
      <c r="F10" s="688" t="s">
        <v>98</v>
      </c>
    </row>
    <row r="11" spans="1:7" s="1" customFormat="1" x14ac:dyDescent="0.2">
      <c r="A11" s="678" t="s">
        <v>224</v>
      </c>
      <c r="B11" s="679"/>
      <c r="C11" s="679"/>
      <c r="D11" s="679"/>
      <c r="E11" s="679"/>
      <c r="F11" s="680"/>
    </row>
    <row r="12" spans="1:7" s="1" customFormat="1" x14ac:dyDescent="0.2">
      <c r="A12" s="684" t="s">
        <v>225</v>
      </c>
      <c r="B12" s="685"/>
      <c r="C12" s="685"/>
      <c r="D12" s="685"/>
      <c r="E12" s="685"/>
      <c r="F12" s="686"/>
    </row>
    <row r="13" spans="1:7" s="1" customFormat="1" x14ac:dyDescent="0.2">
      <c r="A13" s="322" t="s">
        <v>1</v>
      </c>
      <c r="B13" s="373" t="s">
        <v>226</v>
      </c>
      <c r="C13" s="219">
        <v>2000000</v>
      </c>
      <c r="D13" s="219">
        <v>2000000</v>
      </c>
      <c r="E13" s="333">
        <v>0</v>
      </c>
      <c r="F13" s="334">
        <f>D13+E13</f>
        <v>2000000</v>
      </c>
    </row>
    <row r="14" spans="1:7" s="1" customFormat="1" x14ac:dyDescent="0.2">
      <c r="A14" s="335" t="s">
        <v>2</v>
      </c>
      <c r="B14" s="373" t="s">
        <v>227</v>
      </c>
      <c r="C14" s="219">
        <v>250000</v>
      </c>
      <c r="D14" s="219">
        <v>250000</v>
      </c>
      <c r="E14" s="333">
        <v>0</v>
      </c>
      <c r="F14" s="334">
        <f t="shared" ref="F14:F28" si="0">D14+E14</f>
        <v>250000</v>
      </c>
    </row>
    <row r="15" spans="1:7" s="1" customFormat="1" x14ac:dyDescent="0.2">
      <c r="A15" s="335" t="s">
        <v>4</v>
      </c>
      <c r="B15" s="372" t="s">
        <v>228</v>
      </c>
      <c r="C15" s="336">
        <v>7299129</v>
      </c>
      <c r="D15" s="333">
        <v>7299129</v>
      </c>
      <c r="E15" s="333">
        <v>0</v>
      </c>
      <c r="F15" s="334">
        <f t="shared" si="0"/>
        <v>7299129</v>
      </c>
    </row>
    <row r="16" spans="1:7" s="1" customFormat="1" x14ac:dyDescent="0.2">
      <c r="A16" s="335" t="s">
        <v>101</v>
      </c>
      <c r="B16" s="372" t="s">
        <v>229</v>
      </c>
      <c r="C16" s="333">
        <v>1671064</v>
      </c>
      <c r="D16" s="333">
        <v>1671064</v>
      </c>
      <c r="E16" s="333">
        <v>0</v>
      </c>
      <c r="F16" s="334">
        <f t="shared" si="0"/>
        <v>1671064</v>
      </c>
    </row>
    <row r="17" spans="1:6" s="1" customFormat="1" x14ac:dyDescent="0.2">
      <c r="A17" s="335" t="s">
        <v>102</v>
      </c>
      <c r="B17" s="372" t="s">
        <v>230</v>
      </c>
      <c r="C17" s="336">
        <v>16298511</v>
      </c>
      <c r="D17" s="333">
        <v>16298511</v>
      </c>
      <c r="E17" s="336">
        <v>0</v>
      </c>
      <c r="F17" s="334">
        <f t="shared" si="0"/>
        <v>16298511</v>
      </c>
    </row>
    <row r="18" spans="1:6" s="1" customFormat="1" x14ac:dyDescent="0.2">
      <c r="A18" s="335" t="s">
        <v>103</v>
      </c>
      <c r="B18" s="372" t="s">
        <v>231</v>
      </c>
      <c r="C18" s="333">
        <v>2050612</v>
      </c>
      <c r="D18" s="333">
        <v>2051902</v>
      </c>
      <c r="E18" s="333">
        <v>0</v>
      </c>
      <c r="F18" s="334">
        <f t="shared" si="0"/>
        <v>2051902</v>
      </c>
    </row>
    <row r="19" spans="1:6" s="1" customFormat="1" x14ac:dyDescent="0.2">
      <c r="A19" s="335" t="s">
        <v>105</v>
      </c>
      <c r="B19" s="372" t="s">
        <v>232</v>
      </c>
      <c r="C19" s="333">
        <v>17941118</v>
      </c>
      <c r="D19" s="333">
        <v>17941118</v>
      </c>
      <c r="E19" s="336">
        <v>0</v>
      </c>
      <c r="F19" s="334">
        <f t="shared" si="0"/>
        <v>17941118</v>
      </c>
    </row>
    <row r="20" spans="1:6" s="1" customFormat="1" x14ac:dyDescent="0.2">
      <c r="A20" s="335" t="s">
        <v>106</v>
      </c>
      <c r="B20" s="372" t="s">
        <v>233</v>
      </c>
      <c r="C20" s="333">
        <v>2202120</v>
      </c>
      <c r="D20" s="333">
        <v>2203504</v>
      </c>
      <c r="E20" s="333">
        <v>0</v>
      </c>
      <c r="F20" s="334">
        <f t="shared" si="0"/>
        <v>2203504</v>
      </c>
    </row>
    <row r="21" spans="1:6" s="1" customFormat="1" x14ac:dyDescent="0.2">
      <c r="A21" s="335" t="s">
        <v>107</v>
      </c>
      <c r="B21" s="372" t="s">
        <v>234</v>
      </c>
      <c r="C21" s="383">
        <v>12735125</v>
      </c>
      <c r="D21" s="333">
        <v>12735125</v>
      </c>
      <c r="E21" s="336">
        <v>0</v>
      </c>
      <c r="F21" s="334">
        <f t="shared" si="0"/>
        <v>12735125</v>
      </c>
    </row>
    <row r="22" spans="1:6" s="1" customFormat="1" ht="15.75" customHeight="1" x14ac:dyDescent="0.2">
      <c r="A22" s="335" t="s">
        <v>108</v>
      </c>
      <c r="B22" s="372" t="s">
        <v>235</v>
      </c>
      <c r="C22" s="333">
        <v>1932496</v>
      </c>
      <c r="D22" s="333">
        <v>1932496</v>
      </c>
      <c r="E22" s="333">
        <v>0</v>
      </c>
      <c r="F22" s="334">
        <f t="shared" si="0"/>
        <v>1932496</v>
      </c>
    </row>
    <row r="23" spans="1:6" s="1" customFormat="1" x14ac:dyDescent="0.2">
      <c r="A23" s="335" t="s">
        <v>109</v>
      </c>
      <c r="B23" s="372" t="s">
        <v>236</v>
      </c>
      <c r="C23" s="336">
        <v>13353101</v>
      </c>
      <c r="D23" s="333">
        <v>13353101</v>
      </c>
      <c r="E23" s="336">
        <v>0</v>
      </c>
      <c r="F23" s="334">
        <f t="shared" si="0"/>
        <v>13353101</v>
      </c>
    </row>
    <row r="24" spans="1:6" s="1" customFormat="1" x14ac:dyDescent="0.2">
      <c r="A24" s="335" t="s">
        <v>110</v>
      </c>
      <c r="B24" s="372" t="s">
        <v>237</v>
      </c>
      <c r="C24" s="333">
        <v>1804060</v>
      </c>
      <c r="D24" s="333">
        <v>1804060</v>
      </c>
      <c r="E24" s="333">
        <v>0</v>
      </c>
      <c r="F24" s="334">
        <f t="shared" si="0"/>
        <v>1804060</v>
      </c>
    </row>
    <row r="25" spans="1:6" s="1" customFormat="1" x14ac:dyDescent="0.2">
      <c r="A25" s="335" t="s">
        <v>111</v>
      </c>
      <c r="B25" s="374" t="s">
        <v>238</v>
      </c>
      <c r="C25" s="384">
        <v>847500</v>
      </c>
      <c r="D25" s="219">
        <v>847500</v>
      </c>
      <c r="E25" s="336">
        <v>0</v>
      </c>
      <c r="F25" s="334">
        <f t="shared" si="0"/>
        <v>847500</v>
      </c>
    </row>
    <row r="26" spans="1:6" s="1" customFormat="1" x14ac:dyDescent="0.2">
      <c r="A26" s="335" t="s">
        <v>112</v>
      </c>
      <c r="B26" s="373" t="s">
        <v>239</v>
      </c>
      <c r="C26" s="384">
        <v>97348</v>
      </c>
      <c r="D26" s="219">
        <v>97348</v>
      </c>
      <c r="E26" s="333">
        <v>0</v>
      </c>
      <c r="F26" s="334">
        <f t="shared" si="0"/>
        <v>97348</v>
      </c>
    </row>
    <row r="27" spans="1:6" s="1" customFormat="1" x14ac:dyDescent="0.2">
      <c r="A27" s="335" t="s">
        <v>114</v>
      </c>
      <c r="B27" s="373" t="s">
        <v>240</v>
      </c>
      <c r="C27" s="384">
        <v>116794</v>
      </c>
      <c r="D27" s="219">
        <v>116794</v>
      </c>
      <c r="E27" s="336">
        <v>0</v>
      </c>
      <c r="F27" s="334">
        <f t="shared" si="0"/>
        <v>116794</v>
      </c>
    </row>
    <row r="28" spans="1:6" s="1" customFormat="1" x14ac:dyDescent="0.2">
      <c r="A28" s="335" t="s">
        <v>116</v>
      </c>
      <c r="B28" s="373" t="s">
        <v>241</v>
      </c>
      <c r="C28" s="384">
        <v>360103</v>
      </c>
      <c r="D28" s="219">
        <v>535303</v>
      </c>
      <c r="E28" s="333">
        <v>0</v>
      </c>
      <c r="F28" s="334">
        <f t="shared" si="0"/>
        <v>535303</v>
      </c>
    </row>
    <row r="29" spans="1:6" s="1" customFormat="1" x14ac:dyDescent="0.2">
      <c r="A29" s="335" t="s">
        <v>120</v>
      </c>
      <c r="B29" s="373" t="s">
        <v>242</v>
      </c>
      <c r="C29" s="384">
        <v>20855</v>
      </c>
      <c r="D29" s="219">
        <v>20855</v>
      </c>
      <c r="E29" s="336">
        <v>75200</v>
      </c>
      <c r="F29" s="334">
        <f t="shared" ref="F29:F32" si="1">C29+E29</f>
        <v>96055</v>
      </c>
    </row>
    <row r="30" spans="1:6" s="1" customFormat="1" x14ac:dyDescent="0.2">
      <c r="A30" s="335" t="s">
        <v>121</v>
      </c>
      <c r="B30" s="373" t="s">
        <v>265</v>
      </c>
      <c r="C30" s="384">
        <v>0</v>
      </c>
      <c r="D30" s="219">
        <v>0</v>
      </c>
      <c r="E30" s="336">
        <v>19099</v>
      </c>
      <c r="F30" s="334">
        <f t="shared" si="1"/>
        <v>19099</v>
      </c>
    </row>
    <row r="31" spans="1:6" s="1" customFormat="1" ht="31.5" x14ac:dyDescent="0.2">
      <c r="A31" s="335" t="s">
        <v>122</v>
      </c>
      <c r="B31" s="157" t="s">
        <v>266</v>
      </c>
      <c r="C31" s="384">
        <v>0</v>
      </c>
      <c r="D31" s="219">
        <v>0</v>
      </c>
      <c r="E31" s="336">
        <v>273488</v>
      </c>
      <c r="F31" s="334">
        <f t="shared" si="1"/>
        <v>273488</v>
      </c>
    </row>
    <row r="32" spans="1:6" s="1" customFormat="1" ht="31.5" x14ac:dyDescent="0.2">
      <c r="A32" s="335" t="s">
        <v>123</v>
      </c>
      <c r="B32" s="388" t="s">
        <v>267</v>
      </c>
      <c r="C32" s="384">
        <v>0</v>
      </c>
      <c r="D32" s="219">
        <v>0</v>
      </c>
      <c r="E32" s="336">
        <v>16061</v>
      </c>
      <c r="F32" s="334">
        <f t="shared" si="1"/>
        <v>16061</v>
      </c>
    </row>
    <row r="33" spans="1:6" s="1" customFormat="1" x14ac:dyDescent="0.2">
      <c r="A33" s="674" t="s">
        <v>243</v>
      </c>
      <c r="B33" s="675"/>
      <c r="C33" s="337">
        <f>SUM(C13:C32)</f>
        <v>80979936</v>
      </c>
      <c r="D33" s="337">
        <f>SUM(D13:D32)</f>
        <v>81157810</v>
      </c>
      <c r="E33" s="337">
        <f>SUM(E13:E32)</f>
        <v>383848</v>
      </c>
      <c r="F33" s="387">
        <f>SUM(F13:F32)</f>
        <v>81541658</v>
      </c>
    </row>
    <row r="34" spans="1:6" s="1" customFormat="1" ht="16.5" thickBot="1" x14ac:dyDescent="0.25">
      <c r="A34" s="676" t="s">
        <v>244</v>
      </c>
      <c r="B34" s="677"/>
      <c r="C34" s="386">
        <f>C33</f>
        <v>80979936</v>
      </c>
      <c r="D34" s="386">
        <f>D33</f>
        <v>81157810</v>
      </c>
      <c r="E34" s="386">
        <f t="shared" ref="E34:F34" si="2">E33</f>
        <v>383848</v>
      </c>
      <c r="F34" s="719">
        <f t="shared" si="2"/>
        <v>81541658</v>
      </c>
    </row>
    <row r="35" spans="1:6" s="339" customFormat="1" x14ac:dyDescent="0.2">
      <c r="A35" s="678" t="s">
        <v>245</v>
      </c>
      <c r="B35" s="679"/>
      <c r="C35" s="679"/>
      <c r="D35" s="679"/>
      <c r="E35" s="679"/>
      <c r="F35" s="680"/>
    </row>
    <row r="36" spans="1:6" s="339" customFormat="1" x14ac:dyDescent="0.2">
      <c r="A36" s="681" t="s">
        <v>246</v>
      </c>
      <c r="B36" s="682"/>
      <c r="C36" s="682"/>
      <c r="D36" s="682"/>
      <c r="E36" s="682"/>
      <c r="F36" s="683"/>
    </row>
    <row r="37" spans="1:6" s="308" customFormat="1" x14ac:dyDescent="0.2">
      <c r="A37" s="322" t="s">
        <v>124</v>
      </c>
      <c r="B37" s="375" t="s">
        <v>214</v>
      </c>
      <c r="C37" s="340">
        <v>4000000</v>
      </c>
      <c r="D37" s="356">
        <v>6000000</v>
      </c>
      <c r="E37" s="341">
        <v>0</v>
      </c>
      <c r="F37" s="342">
        <f>D37+E37</f>
        <v>6000000</v>
      </c>
    </row>
    <row r="38" spans="1:6" s="1" customFormat="1" x14ac:dyDescent="0.2">
      <c r="A38" s="322" t="s">
        <v>268</v>
      </c>
      <c r="B38" s="357" t="s">
        <v>219</v>
      </c>
      <c r="C38" s="340">
        <v>0</v>
      </c>
      <c r="D38" s="356">
        <v>100000</v>
      </c>
      <c r="E38" s="341">
        <v>0</v>
      </c>
      <c r="F38" s="342">
        <f>D38+E38</f>
        <v>100000</v>
      </c>
    </row>
    <row r="39" spans="1:6" s="1" customFormat="1" x14ac:dyDescent="0.2">
      <c r="A39" s="385"/>
      <c r="B39" s="357" t="s">
        <v>218</v>
      </c>
      <c r="C39" s="378">
        <v>0</v>
      </c>
      <c r="D39" s="356">
        <v>0</v>
      </c>
      <c r="E39" s="341">
        <v>210000</v>
      </c>
      <c r="F39" s="342">
        <f>D39+E39</f>
        <v>210000</v>
      </c>
    </row>
    <row r="40" spans="1:6" s="1" customFormat="1" x14ac:dyDescent="0.2">
      <c r="A40" s="674" t="s">
        <v>247</v>
      </c>
      <c r="B40" s="675"/>
      <c r="C40" s="343">
        <f>SUM(C37:C39)</f>
        <v>4000000</v>
      </c>
      <c r="D40" s="343">
        <f t="shared" ref="D40:F40" si="3">SUM(D37:D39)</f>
        <v>6100000</v>
      </c>
      <c r="E40" s="343">
        <f t="shared" si="3"/>
        <v>210000</v>
      </c>
      <c r="F40" s="365">
        <f t="shared" si="3"/>
        <v>6310000</v>
      </c>
    </row>
    <row r="41" spans="1:6" s="1" customFormat="1" ht="16.5" thickBot="1" x14ac:dyDescent="0.25">
      <c r="A41" s="689" t="s">
        <v>220</v>
      </c>
      <c r="B41" s="690"/>
      <c r="C41" s="366">
        <f>C40</f>
        <v>4000000</v>
      </c>
      <c r="D41" s="366">
        <f>D40</f>
        <v>6100000</v>
      </c>
      <c r="E41" s="366">
        <f t="shared" ref="E41:F41" si="4">E40</f>
        <v>210000</v>
      </c>
      <c r="F41" s="338">
        <f t="shared" si="4"/>
        <v>6310000</v>
      </c>
    </row>
    <row r="42" spans="1:6" s="1" customFormat="1" ht="16.5" thickBot="1" x14ac:dyDescent="0.25">
      <c r="A42" s="670" t="s">
        <v>248</v>
      </c>
      <c r="B42" s="671"/>
      <c r="C42" s="344">
        <f>C34+C41</f>
        <v>84979936</v>
      </c>
      <c r="D42" s="344">
        <f>D34+D41</f>
        <v>87257810</v>
      </c>
      <c r="E42" s="344">
        <f t="shared" ref="E42:F42" si="5">E34+E41</f>
        <v>593848</v>
      </c>
      <c r="F42" s="345">
        <f t="shared" si="5"/>
        <v>87851658</v>
      </c>
    </row>
    <row r="44" spans="1:6" x14ac:dyDescent="0.25">
      <c r="A44" s="672"/>
      <c r="B44" s="673"/>
      <c r="C44" s="331"/>
      <c r="D44" s="331"/>
    </row>
    <row r="45" spans="1:6" ht="20.25" x14ac:dyDescent="0.3">
      <c r="B45" s="346"/>
    </row>
  </sheetData>
  <mergeCells count="22">
    <mergeCell ref="A7:F7"/>
    <mergeCell ref="D9:D10"/>
    <mergeCell ref="A1:F1"/>
    <mergeCell ref="A2:F2"/>
    <mergeCell ref="A4:F4"/>
    <mergeCell ref="A5:F5"/>
    <mergeCell ref="A6:F6"/>
    <mergeCell ref="A9:A10"/>
    <mergeCell ref="B9:B10"/>
    <mergeCell ref="C9:C10"/>
    <mergeCell ref="E9:E10"/>
    <mergeCell ref="A12:F12"/>
    <mergeCell ref="F9:F10"/>
    <mergeCell ref="A11:F11"/>
    <mergeCell ref="A40:B40"/>
    <mergeCell ref="A41:B41"/>
    <mergeCell ref="A42:B42"/>
    <mergeCell ref="A44:B44"/>
    <mergeCell ref="A33:B33"/>
    <mergeCell ref="A34:B34"/>
    <mergeCell ref="A35:F35"/>
    <mergeCell ref="A36:F36"/>
  </mergeCells>
  <phoneticPr fontId="38" type="noConversion"/>
  <printOptions horizontalCentered="1"/>
  <pageMargins left="0.11811023622047245" right="0.11811023622047245" top="0.15748031496062992" bottom="0.15748031496062992" header="0.31496062992125984" footer="0.31496062992125984"/>
  <pageSetup paperSize="9" scale="84" orientation="landscape" r:id="rId1"/>
  <rowBreaks count="1" manualBreakCount="1">
    <brk id="4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A8216-7FCB-4B5F-8D73-C4E3100F4BE5}">
  <sheetPr>
    <tabColor rgb="FF92D050"/>
  </sheetPr>
  <dimension ref="A1:K35"/>
  <sheetViews>
    <sheetView zoomScaleNormal="100" workbookViewId="0">
      <selection activeCell="H6" sqref="H6"/>
    </sheetView>
  </sheetViews>
  <sheetFormatPr defaultRowHeight="12.75" x14ac:dyDescent="0.2"/>
  <cols>
    <col min="1" max="1" width="6.42578125" customWidth="1"/>
    <col min="2" max="2" width="97.140625" customWidth="1"/>
    <col min="3" max="4" width="12.7109375" style="158" customWidth="1"/>
    <col min="5" max="6" width="12.7109375" customWidth="1"/>
    <col min="8" max="9" width="10.140625" bestFit="1" customWidth="1"/>
    <col min="11" max="11" width="10.140625" bestFit="1" customWidth="1"/>
  </cols>
  <sheetData>
    <row r="1" spans="1:11" ht="14.25" x14ac:dyDescent="0.2">
      <c r="A1" s="485" t="s">
        <v>221</v>
      </c>
      <c r="B1" s="485"/>
      <c r="C1" s="485"/>
      <c r="D1" s="485"/>
      <c r="E1" s="485"/>
      <c r="F1" s="485"/>
    </row>
    <row r="2" spans="1:11" ht="14.25" x14ac:dyDescent="0.2">
      <c r="A2" s="485" t="s">
        <v>249</v>
      </c>
      <c r="B2" s="485"/>
      <c r="C2" s="485"/>
      <c r="D2" s="485"/>
      <c r="E2" s="485"/>
      <c r="F2" s="485"/>
    </row>
    <row r="3" spans="1:11" x14ac:dyDescent="0.2">
      <c r="A3" s="713"/>
      <c r="B3" s="713"/>
      <c r="C3" s="713"/>
      <c r="D3" s="144"/>
    </row>
    <row r="4" spans="1:11" ht="15.75" x14ac:dyDescent="0.25">
      <c r="A4" s="476" t="s">
        <v>187</v>
      </c>
      <c r="B4" s="476"/>
      <c r="C4" s="476"/>
      <c r="D4" s="476"/>
      <c r="E4" s="476"/>
      <c r="F4" s="476"/>
    </row>
    <row r="5" spans="1:11" ht="15.75" x14ac:dyDescent="0.25">
      <c r="A5" s="476" t="s">
        <v>94</v>
      </c>
      <c r="B5" s="476"/>
      <c r="C5" s="476"/>
      <c r="D5" s="476"/>
      <c r="E5" s="476"/>
      <c r="F5" s="476"/>
    </row>
    <row r="6" spans="1:11" ht="15.75" x14ac:dyDescent="0.25">
      <c r="A6" s="476" t="s">
        <v>188</v>
      </c>
      <c r="B6" s="476"/>
      <c r="C6" s="476"/>
      <c r="D6" s="476"/>
      <c r="E6" s="476"/>
      <c r="F6" s="476"/>
    </row>
    <row r="7" spans="1:11" ht="15.75" x14ac:dyDescent="0.25">
      <c r="A7" s="701" t="s">
        <v>189</v>
      </c>
      <c r="B7" s="701"/>
      <c r="C7" s="701"/>
      <c r="D7" s="701"/>
      <c r="E7" s="701"/>
      <c r="F7" s="701"/>
    </row>
    <row r="8" spans="1:11" ht="16.5" thickBot="1" x14ac:dyDescent="0.3">
      <c r="A8" s="702"/>
      <c r="B8" s="702"/>
      <c r="C8" s="702"/>
      <c r="D8" s="145"/>
      <c r="F8" s="8" t="s">
        <v>95</v>
      </c>
    </row>
    <row r="9" spans="1:11" ht="48" thickBot="1" x14ac:dyDescent="0.25">
      <c r="A9" s="368" t="s">
        <v>96</v>
      </c>
      <c r="B9" s="369" t="s">
        <v>97</v>
      </c>
      <c r="C9" s="370" t="s">
        <v>28</v>
      </c>
      <c r="D9" s="146" t="s">
        <v>98</v>
      </c>
      <c r="E9" s="367" t="s">
        <v>87</v>
      </c>
      <c r="F9" s="147" t="s">
        <v>98</v>
      </c>
    </row>
    <row r="10" spans="1:11" ht="15.75" x14ac:dyDescent="0.2">
      <c r="A10" s="703" t="s">
        <v>250</v>
      </c>
      <c r="B10" s="704"/>
      <c r="C10" s="704"/>
      <c r="D10" s="704"/>
      <c r="E10" s="704"/>
      <c r="F10" s="705"/>
    </row>
    <row r="11" spans="1:11" ht="15.75" x14ac:dyDescent="0.2">
      <c r="A11" s="148" t="s">
        <v>1</v>
      </c>
      <c r="B11" s="149" t="s">
        <v>99</v>
      </c>
      <c r="C11" s="347">
        <v>1905000</v>
      </c>
      <c r="D11" s="347">
        <v>3405000</v>
      </c>
      <c r="E11" s="348">
        <v>0</v>
      </c>
      <c r="F11" s="150">
        <f>D11+E11</f>
        <v>3405000</v>
      </c>
    </row>
    <row r="12" spans="1:11" s="153" customFormat="1" ht="15.75" x14ac:dyDescent="0.2">
      <c r="A12" s="151" t="s">
        <v>2</v>
      </c>
      <c r="B12" s="152" t="s">
        <v>251</v>
      </c>
      <c r="C12" s="349">
        <v>15995670</v>
      </c>
      <c r="D12" s="349">
        <v>15995670</v>
      </c>
      <c r="E12" s="350">
        <v>0</v>
      </c>
      <c r="F12" s="150">
        <f t="shared" ref="F12:F26" si="0">D12+E12</f>
        <v>15995670</v>
      </c>
    </row>
    <row r="13" spans="1:11" ht="15.75" x14ac:dyDescent="0.2">
      <c r="A13" s="151" t="s">
        <v>4</v>
      </c>
      <c r="B13" s="152" t="s">
        <v>252</v>
      </c>
      <c r="C13" s="351">
        <v>52042084</v>
      </c>
      <c r="D13" s="351">
        <v>52042084</v>
      </c>
      <c r="E13" s="350">
        <v>0</v>
      </c>
      <c r="F13" s="150">
        <f t="shared" si="0"/>
        <v>52042084</v>
      </c>
    </row>
    <row r="14" spans="1:11" s="153" customFormat="1" ht="15.75" x14ac:dyDescent="0.2">
      <c r="A14" s="151" t="s">
        <v>101</v>
      </c>
      <c r="B14" s="154" t="s">
        <v>115</v>
      </c>
      <c r="C14" s="351">
        <v>10000000</v>
      </c>
      <c r="D14" s="351">
        <v>10000000</v>
      </c>
      <c r="E14" s="350">
        <v>0</v>
      </c>
      <c r="F14" s="150">
        <f t="shared" si="0"/>
        <v>10000000</v>
      </c>
    </row>
    <row r="15" spans="1:11" s="153" customFormat="1" ht="15.75" x14ac:dyDescent="0.2">
      <c r="A15" s="151" t="s">
        <v>102</v>
      </c>
      <c r="B15" s="154" t="s">
        <v>253</v>
      </c>
      <c r="C15" s="351">
        <v>16230600</v>
      </c>
      <c r="D15" s="351">
        <v>16230600</v>
      </c>
      <c r="E15" s="350">
        <v>0</v>
      </c>
      <c r="F15" s="150">
        <f t="shared" si="0"/>
        <v>16230600</v>
      </c>
      <c r="K15" s="352"/>
    </row>
    <row r="16" spans="1:11" ht="15.75" x14ac:dyDescent="0.2">
      <c r="A16" s="151" t="s">
        <v>103</v>
      </c>
      <c r="B16" s="152" t="s">
        <v>100</v>
      </c>
      <c r="C16" s="349">
        <v>11239500</v>
      </c>
      <c r="D16" s="349">
        <v>11239500</v>
      </c>
      <c r="E16" s="350">
        <v>0</v>
      </c>
      <c r="F16" s="150">
        <f t="shared" si="0"/>
        <v>11239500</v>
      </c>
      <c r="I16" s="158"/>
    </row>
    <row r="17" spans="1:8" ht="15.75" x14ac:dyDescent="0.2">
      <c r="A17" s="151" t="s">
        <v>105</v>
      </c>
      <c r="B17" s="152" t="s">
        <v>254</v>
      </c>
      <c r="C17" s="349">
        <v>37287200</v>
      </c>
      <c r="D17" s="349">
        <v>37287200</v>
      </c>
      <c r="E17" s="350">
        <v>0</v>
      </c>
      <c r="F17" s="150">
        <f t="shared" si="0"/>
        <v>37287200</v>
      </c>
    </row>
    <row r="18" spans="1:8" s="153" customFormat="1" ht="15.75" x14ac:dyDescent="0.2">
      <c r="A18" s="151" t="s">
        <v>106</v>
      </c>
      <c r="B18" s="152" t="s">
        <v>255</v>
      </c>
      <c r="C18" s="351">
        <v>16637000</v>
      </c>
      <c r="D18" s="351">
        <v>16637000</v>
      </c>
      <c r="E18" s="353">
        <v>0</v>
      </c>
      <c r="F18" s="150">
        <f t="shared" si="0"/>
        <v>16637000</v>
      </c>
    </row>
    <row r="19" spans="1:8" s="153" customFormat="1" ht="15.75" x14ac:dyDescent="0.2">
      <c r="A19" s="151" t="s">
        <v>107</v>
      </c>
      <c r="B19" s="152" t="s">
        <v>256</v>
      </c>
      <c r="C19" s="351">
        <v>10000000</v>
      </c>
      <c r="D19" s="351">
        <v>10000000</v>
      </c>
      <c r="E19" s="353">
        <v>0</v>
      </c>
      <c r="F19" s="150">
        <f t="shared" si="0"/>
        <v>10000000</v>
      </c>
    </row>
    <row r="20" spans="1:8" s="153" customFormat="1" ht="15.75" x14ac:dyDescent="0.2">
      <c r="A20" s="151" t="s">
        <v>108</v>
      </c>
      <c r="B20" s="152" t="s">
        <v>257</v>
      </c>
      <c r="C20" s="351">
        <v>5000000</v>
      </c>
      <c r="D20" s="351">
        <v>5000000</v>
      </c>
      <c r="E20" s="353">
        <v>0</v>
      </c>
      <c r="F20" s="150">
        <f t="shared" si="0"/>
        <v>5000000</v>
      </c>
    </row>
    <row r="21" spans="1:8" s="155" customFormat="1" ht="15.75" x14ac:dyDescent="0.2">
      <c r="A21" s="151" t="s">
        <v>109</v>
      </c>
      <c r="B21" s="154" t="s">
        <v>113</v>
      </c>
      <c r="C21" s="351">
        <v>27483222</v>
      </c>
      <c r="D21" s="351">
        <v>27483222</v>
      </c>
      <c r="E21" s="353">
        <v>0</v>
      </c>
      <c r="F21" s="150">
        <f t="shared" si="0"/>
        <v>27483222</v>
      </c>
      <c r="H21" s="354"/>
    </row>
    <row r="22" spans="1:8" s="155" customFormat="1" ht="15.75" x14ac:dyDescent="0.2">
      <c r="A22" s="151" t="s">
        <v>110</v>
      </c>
      <c r="B22" s="154" t="s">
        <v>258</v>
      </c>
      <c r="C22" s="351">
        <v>380000</v>
      </c>
      <c r="D22" s="351">
        <v>380000</v>
      </c>
      <c r="E22" s="353">
        <v>0</v>
      </c>
      <c r="F22" s="150">
        <f t="shared" si="0"/>
        <v>380000</v>
      </c>
    </row>
    <row r="23" spans="1:8" s="155" customFormat="1" ht="15.75" x14ac:dyDescent="0.2">
      <c r="A23" s="151" t="s">
        <v>111</v>
      </c>
      <c r="B23" s="154" t="s">
        <v>259</v>
      </c>
      <c r="C23" s="351">
        <v>1700000</v>
      </c>
      <c r="D23" s="351">
        <v>1700000</v>
      </c>
      <c r="E23" s="353">
        <v>0</v>
      </c>
      <c r="F23" s="150">
        <f t="shared" si="0"/>
        <v>1700000</v>
      </c>
    </row>
    <row r="24" spans="1:8" s="155" customFormat="1" ht="15.75" x14ac:dyDescent="0.2">
      <c r="A24" s="151" t="s">
        <v>112</v>
      </c>
      <c r="B24" s="154" t="s">
        <v>117</v>
      </c>
      <c r="C24" s="349">
        <v>1000000</v>
      </c>
      <c r="D24" s="349">
        <v>1000000</v>
      </c>
      <c r="E24" s="350">
        <v>0</v>
      </c>
      <c r="F24" s="150">
        <f t="shared" si="0"/>
        <v>1000000</v>
      </c>
    </row>
    <row r="25" spans="1:8" s="155" customFormat="1" ht="15.75" x14ac:dyDescent="0.2">
      <c r="A25" s="355" t="s">
        <v>114</v>
      </c>
      <c r="B25" s="152" t="s">
        <v>104</v>
      </c>
      <c r="C25" s="351">
        <v>0</v>
      </c>
      <c r="D25" s="351">
        <v>2190750</v>
      </c>
      <c r="E25" s="350">
        <v>0</v>
      </c>
      <c r="F25" s="150">
        <f t="shared" si="0"/>
        <v>2190750</v>
      </c>
    </row>
    <row r="26" spans="1:8" s="155" customFormat="1" ht="15.75" x14ac:dyDescent="0.2">
      <c r="A26" s="355" t="s">
        <v>116</v>
      </c>
      <c r="B26" s="152" t="s">
        <v>260</v>
      </c>
      <c r="C26" s="351">
        <v>0</v>
      </c>
      <c r="D26" s="351">
        <v>30000000</v>
      </c>
      <c r="E26" s="350">
        <v>0</v>
      </c>
      <c r="F26" s="150">
        <f t="shared" si="0"/>
        <v>30000000</v>
      </c>
    </row>
    <row r="27" spans="1:8" s="155" customFormat="1" ht="16.5" thickBot="1" x14ac:dyDescent="0.25">
      <c r="A27" s="706" t="s">
        <v>261</v>
      </c>
      <c r="B27" s="707"/>
      <c r="C27" s="390">
        <f>SUM(C11:C26)</f>
        <v>206900276</v>
      </c>
      <c r="D27" s="390">
        <f t="shared" ref="D27:F27" si="1">SUM(D11:D26)</f>
        <v>240591026</v>
      </c>
      <c r="E27" s="390">
        <f t="shared" si="1"/>
        <v>0</v>
      </c>
      <c r="F27" s="391">
        <f t="shared" si="1"/>
        <v>240591026</v>
      </c>
    </row>
    <row r="28" spans="1:8" ht="15.75" x14ac:dyDescent="0.2">
      <c r="A28" s="708" t="s">
        <v>262</v>
      </c>
      <c r="B28" s="709"/>
      <c r="C28" s="709"/>
      <c r="D28" s="709"/>
      <c r="E28" s="709"/>
      <c r="F28" s="710"/>
    </row>
    <row r="29" spans="1:8" ht="15.75" x14ac:dyDescent="0.25">
      <c r="A29" s="393" t="s">
        <v>1</v>
      </c>
      <c r="B29" s="157" t="s">
        <v>118</v>
      </c>
      <c r="C29" s="389">
        <v>635000</v>
      </c>
      <c r="D29" s="389">
        <v>2135000</v>
      </c>
      <c r="E29" s="350">
        <v>0</v>
      </c>
      <c r="F29" s="394">
        <f>D29+E29</f>
        <v>2135000</v>
      </c>
      <c r="G29" s="371"/>
    </row>
    <row r="30" spans="1:8" ht="15.75" x14ac:dyDescent="0.25">
      <c r="A30" s="393" t="s">
        <v>2</v>
      </c>
      <c r="B30" s="392" t="s">
        <v>269</v>
      </c>
      <c r="C30" s="389">
        <v>0</v>
      </c>
      <c r="D30" s="389">
        <v>0</v>
      </c>
      <c r="E30" s="350">
        <v>1728000</v>
      </c>
      <c r="F30" s="394">
        <f>D30+E30</f>
        <v>1728000</v>
      </c>
      <c r="G30" s="371"/>
    </row>
    <row r="31" spans="1:8" s="155" customFormat="1" ht="16.5" thickBot="1" x14ac:dyDescent="0.25">
      <c r="A31" s="711" t="s">
        <v>263</v>
      </c>
      <c r="B31" s="712"/>
      <c r="C31" s="395">
        <f>SUM(C29:C30)</f>
        <v>635000</v>
      </c>
      <c r="D31" s="395">
        <f t="shared" ref="D31:F31" si="2">SUM(D29:D30)</f>
        <v>2135000</v>
      </c>
      <c r="E31" s="395">
        <f t="shared" si="2"/>
        <v>1728000</v>
      </c>
      <c r="F31" s="156">
        <f t="shared" si="2"/>
        <v>3863000</v>
      </c>
    </row>
    <row r="32" spans="1:8" ht="16.5" thickBot="1" x14ac:dyDescent="0.25">
      <c r="A32" s="699" t="s">
        <v>119</v>
      </c>
      <c r="B32" s="700"/>
      <c r="C32" s="344">
        <f>C27+C31</f>
        <v>207535276</v>
      </c>
      <c r="D32" s="344">
        <f t="shared" ref="D32:F32" si="3">D27+D31</f>
        <v>242726026</v>
      </c>
      <c r="E32" s="344">
        <f t="shared" si="3"/>
        <v>1728000</v>
      </c>
      <c r="F32" s="396">
        <f t="shared" si="3"/>
        <v>244454026</v>
      </c>
    </row>
    <row r="33" spans="1:6" ht="21.95" customHeight="1" x14ac:dyDescent="0.2">
      <c r="A33" s="3"/>
      <c r="B33" s="3"/>
    </row>
    <row r="34" spans="1:6" ht="21.95" customHeight="1" x14ac:dyDescent="0.2"/>
    <row r="35" spans="1:6" x14ac:dyDescent="0.2">
      <c r="F35" s="158"/>
    </row>
  </sheetData>
  <mergeCells count="13">
    <mergeCell ref="A6:F6"/>
    <mergeCell ref="A1:F1"/>
    <mergeCell ref="A2:F2"/>
    <mergeCell ref="A3:C3"/>
    <mergeCell ref="A4:F4"/>
    <mergeCell ref="A5:F5"/>
    <mergeCell ref="A32:B32"/>
    <mergeCell ref="A7:F7"/>
    <mergeCell ref="A8:C8"/>
    <mergeCell ref="A10:F10"/>
    <mergeCell ref="A27:B27"/>
    <mergeCell ref="A28:F28"/>
    <mergeCell ref="A31:B31"/>
  </mergeCells>
  <printOptions horizontalCentered="1"/>
  <pageMargins left="0.19685039370078741" right="0.19685039370078741" top="0.15748031496062992" bottom="0.15748031496062992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10</vt:i4>
      </vt:variant>
    </vt:vector>
  </HeadingPairs>
  <TitlesOfParts>
    <vt:vector size="18" baseType="lpstr">
      <vt:lpstr>1.</vt:lpstr>
      <vt:lpstr>2.</vt:lpstr>
      <vt:lpstr>3.</vt:lpstr>
      <vt:lpstr>4.</vt:lpstr>
      <vt:lpstr>5.</vt:lpstr>
      <vt:lpstr>6.</vt:lpstr>
      <vt:lpstr>7.</vt:lpstr>
      <vt:lpstr>8.</vt:lpstr>
      <vt:lpstr>'1.'!Nyomtatási_cím</vt:lpstr>
      <vt:lpstr>'2.'!Nyomtatási_cím</vt:lpstr>
      <vt:lpstr>'3.'!Nyomtatási_cím</vt:lpstr>
      <vt:lpstr>'5.'!Nyomtatási_cím</vt:lpstr>
      <vt:lpstr>'1.'!Nyomtatási_terület</vt:lpstr>
      <vt:lpstr>'2.'!Nyomtatási_terület</vt:lpstr>
      <vt:lpstr>'3.'!Nyomtatási_terület</vt:lpstr>
      <vt:lpstr>'4.'!Nyomtatási_terület</vt:lpstr>
      <vt:lpstr>'5.'!Nyomtatási_terület</vt:lpstr>
      <vt:lpstr>'7.'!Nyomtatási_terület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Pénzügyi csoport</dc:creator>
  <cp:lastModifiedBy>Mar.Norbert</cp:lastModifiedBy>
  <cp:lastPrinted>2023-09-20T11:27:20Z</cp:lastPrinted>
  <dcterms:created xsi:type="dcterms:W3CDTF">2007-02-22T10:27:43Z</dcterms:created>
  <dcterms:modified xsi:type="dcterms:W3CDTF">2023-09-21T14:13:58Z</dcterms:modified>
</cp:coreProperties>
</file>