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4. év\Közgyűlés\2024.05.24\2. 2023. évi zárszámadás\Jegyzői átnézésre\Végleges\"/>
    </mc:Choice>
  </mc:AlternateContent>
  <xr:revisionPtr revIDLastSave="0" documentId="13_ncr:1_{B4491207-2000-4259-A836-4F1C77B07955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1." sheetId="39" r:id="rId1"/>
    <sheet name="2." sheetId="53" r:id="rId2"/>
    <sheet name="3." sheetId="54" r:id="rId3"/>
    <sheet name="4." sheetId="87" r:id="rId4"/>
    <sheet name="5." sheetId="88" r:id="rId5"/>
    <sheet name="6." sheetId="86" r:id="rId6"/>
    <sheet name="7." sheetId="64" r:id="rId7"/>
    <sheet name="8." sheetId="63" r:id="rId8"/>
    <sheet name="9." sheetId="55" r:id="rId9"/>
    <sheet name="10." sheetId="79" r:id="rId10"/>
  </sheets>
  <definedNames>
    <definedName name="_xlnm.Print_Titles" localSheetId="0">'1.'!$1:$10</definedName>
    <definedName name="_xlnm.Print_Titles" localSheetId="9">'10.'!$7:$9</definedName>
    <definedName name="_xlnm.Print_Titles" localSheetId="1">'2.'!$1:$10</definedName>
    <definedName name="_xlnm.Print_Titles" localSheetId="2">'3.'!$1:$10</definedName>
    <definedName name="_xlnm.Print_Titles" localSheetId="3">'4.'!$1:$5</definedName>
    <definedName name="_xlnm.Print_Titles" localSheetId="4">'5.'!$1:$6</definedName>
    <definedName name="_xlnm.Print_Titles" localSheetId="5">'6.'!$1:$6</definedName>
    <definedName name="_xlnm.Print_Titles" localSheetId="6">'7.'!$8:$10</definedName>
    <definedName name="_xlnm.Print_Titles" localSheetId="7">'8.'!$1:$10</definedName>
    <definedName name="_xlnm.Print_Area" localSheetId="0">'1.'!$A$1:$P$70</definedName>
    <definedName name="_xlnm.Print_Area" localSheetId="9">'10.'!$A$1:$L$139</definedName>
    <definedName name="_xlnm.Print_Area" localSheetId="1">'2.'!$A$1:$P$70</definedName>
    <definedName name="_xlnm.Print_Area" localSheetId="2">'3.'!$A$1:$P$70</definedName>
    <definedName name="_xlnm.Print_Area" localSheetId="3">'4.'!$A$1:$L$72</definedName>
    <definedName name="_xlnm.Print_Area" localSheetId="4">'5.'!$A$1:$L$151</definedName>
    <definedName name="_xlnm.Print_Area" localSheetId="5">'6.'!$A$1:$K$149</definedName>
    <definedName name="_xlnm.Print_Area" localSheetId="6">'7.'!$A$1:$F$18</definedName>
    <definedName name="_xlnm.Print_Area" localSheetId="7">'8.'!$A$1:$F$44</definedName>
  </definedNames>
  <calcPr calcId="181029"/>
</workbook>
</file>

<file path=xl/calcChain.xml><?xml version="1.0" encoding="utf-8"?>
<calcChain xmlns="http://schemas.openxmlformats.org/spreadsheetml/2006/main">
  <c r="F13" i="55" l="1"/>
  <c r="G124" i="79" l="1"/>
  <c r="H124" i="79"/>
  <c r="J124" i="79"/>
  <c r="K124" i="79"/>
  <c r="G125" i="79"/>
  <c r="H125" i="79"/>
  <c r="I125" i="79"/>
  <c r="J125" i="79"/>
  <c r="K125" i="79"/>
  <c r="F125" i="79"/>
  <c r="F124" i="79"/>
  <c r="C124" i="79"/>
  <c r="K105" i="79"/>
  <c r="J105" i="79"/>
  <c r="I105" i="79"/>
  <c r="H105" i="79"/>
  <c r="G105" i="79"/>
  <c r="F105" i="79"/>
  <c r="L104" i="79"/>
  <c r="L103" i="79"/>
  <c r="L105" i="79" s="1"/>
  <c r="K102" i="79" l="1"/>
  <c r="J102" i="79"/>
  <c r="I102" i="79"/>
  <c r="H102" i="79"/>
  <c r="G102" i="79"/>
  <c r="F102" i="79"/>
  <c r="L101" i="79"/>
  <c r="L100" i="79"/>
  <c r="K108" i="79"/>
  <c r="J108" i="79"/>
  <c r="H108" i="79"/>
  <c r="G108" i="79"/>
  <c r="F108" i="79"/>
  <c r="L107" i="79"/>
  <c r="I106" i="79"/>
  <c r="L102" i="79" l="1"/>
  <c r="I108" i="79"/>
  <c r="L106" i="79"/>
  <c r="L108" i="79" s="1"/>
  <c r="K99" i="79" l="1"/>
  <c r="J99" i="79"/>
  <c r="I99" i="79"/>
  <c r="H99" i="79"/>
  <c r="G99" i="79"/>
  <c r="F99" i="79"/>
  <c r="L98" i="79"/>
  <c r="L97" i="79"/>
  <c r="L99" i="79" s="1"/>
  <c r="K84" i="79" l="1"/>
  <c r="J84" i="79"/>
  <c r="I84" i="79"/>
  <c r="H84" i="79"/>
  <c r="G84" i="79"/>
  <c r="F84" i="79"/>
  <c r="L83" i="79"/>
  <c r="L82" i="79"/>
  <c r="K81" i="79"/>
  <c r="J81" i="79"/>
  <c r="I81" i="79"/>
  <c r="H81" i="79"/>
  <c r="G81" i="79"/>
  <c r="F81" i="79"/>
  <c r="L80" i="79"/>
  <c r="L79" i="79"/>
  <c r="L84" i="79" l="1"/>
  <c r="L81" i="79"/>
  <c r="K27" i="79"/>
  <c r="J27" i="79"/>
  <c r="I27" i="79"/>
  <c r="H27" i="79"/>
  <c r="G27" i="79"/>
  <c r="F27" i="79"/>
  <c r="L26" i="79"/>
  <c r="L25" i="79"/>
  <c r="K18" i="79"/>
  <c r="J18" i="79"/>
  <c r="I18" i="79"/>
  <c r="H18" i="79"/>
  <c r="G18" i="79"/>
  <c r="F18" i="79"/>
  <c r="L17" i="79"/>
  <c r="L16" i="79"/>
  <c r="F134" i="79"/>
  <c r="D134" i="79"/>
  <c r="K133" i="79"/>
  <c r="K135" i="79" s="1"/>
  <c r="J133" i="79"/>
  <c r="J135" i="79" s="1"/>
  <c r="I133" i="79"/>
  <c r="I135" i="79" s="1"/>
  <c r="H133" i="79"/>
  <c r="H135" i="79" s="1"/>
  <c r="G133" i="79"/>
  <c r="G135" i="79" s="1"/>
  <c r="F133" i="79"/>
  <c r="F135" i="79" s="1"/>
  <c r="L132" i="79"/>
  <c r="L131" i="79"/>
  <c r="L18" i="79" l="1"/>
  <c r="L27" i="79"/>
  <c r="L133" i="79"/>
  <c r="C131" i="79" s="1"/>
  <c r="C134" i="79" s="1"/>
  <c r="G86" i="88" l="1"/>
  <c r="K150" i="88"/>
  <c r="I150" i="88"/>
  <c r="H150" i="88"/>
  <c r="G150" i="88"/>
  <c r="F150" i="88"/>
  <c r="K149" i="88"/>
  <c r="H149" i="88"/>
  <c r="K148" i="88"/>
  <c r="I148" i="88"/>
  <c r="H148" i="88"/>
  <c r="G148" i="88"/>
  <c r="F148" i="88"/>
  <c r="L147" i="88"/>
  <c r="J146" i="88"/>
  <c r="L146" i="88" s="1"/>
  <c r="K145" i="88"/>
  <c r="H145" i="88"/>
  <c r="G145" i="88"/>
  <c r="F145" i="88"/>
  <c r="L144" i="88"/>
  <c r="I143" i="88"/>
  <c r="I149" i="88" s="1"/>
  <c r="K142" i="88"/>
  <c r="I142" i="88"/>
  <c r="H142" i="88"/>
  <c r="G142" i="88"/>
  <c r="F142" i="88"/>
  <c r="L141" i="88"/>
  <c r="J140" i="88"/>
  <c r="J142" i="88" s="1"/>
  <c r="K139" i="88"/>
  <c r="I139" i="88"/>
  <c r="H139" i="88"/>
  <c r="G139" i="88"/>
  <c r="F139" i="88"/>
  <c r="L138" i="88"/>
  <c r="J137" i="88"/>
  <c r="J139" i="88" s="1"/>
  <c r="L139" i="88" s="1"/>
  <c r="K136" i="88"/>
  <c r="I136" i="88"/>
  <c r="H136" i="88"/>
  <c r="G136" i="88"/>
  <c r="F136" i="88"/>
  <c r="L135" i="88"/>
  <c r="J134" i="88"/>
  <c r="J136" i="88" s="1"/>
  <c r="K133" i="88"/>
  <c r="I133" i="88"/>
  <c r="H133" i="88"/>
  <c r="G133" i="88"/>
  <c r="F133" i="88"/>
  <c r="L132" i="88"/>
  <c r="J131" i="88"/>
  <c r="J133" i="88" s="1"/>
  <c r="K130" i="88"/>
  <c r="I130" i="88"/>
  <c r="H130" i="88"/>
  <c r="G130" i="88"/>
  <c r="F130" i="88"/>
  <c r="J129" i="88"/>
  <c r="L129" i="88" s="1"/>
  <c r="J128" i="88"/>
  <c r="K127" i="88"/>
  <c r="I127" i="88"/>
  <c r="H127" i="88"/>
  <c r="G127" i="88"/>
  <c r="F127" i="88"/>
  <c r="J126" i="88"/>
  <c r="L126" i="88" s="1"/>
  <c r="J125" i="88"/>
  <c r="L125" i="88" s="1"/>
  <c r="K124" i="88"/>
  <c r="I124" i="88"/>
  <c r="H124" i="88"/>
  <c r="G124" i="88"/>
  <c r="F124" i="88"/>
  <c r="L123" i="88"/>
  <c r="J122" i="88"/>
  <c r="L122" i="88" s="1"/>
  <c r="K121" i="88"/>
  <c r="I121" i="88"/>
  <c r="H121" i="88"/>
  <c r="G121" i="88"/>
  <c r="F121" i="88"/>
  <c r="L120" i="88"/>
  <c r="J119" i="88"/>
  <c r="J121" i="88" s="1"/>
  <c r="K118" i="88"/>
  <c r="I118" i="88"/>
  <c r="H118" i="88"/>
  <c r="G118" i="88"/>
  <c r="F118" i="88"/>
  <c r="L117" i="88"/>
  <c r="J116" i="88"/>
  <c r="L116" i="88" s="1"/>
  <c r="K115" i="88"/>
  <c r="I115" i="88"/>
  <c r="H115" i="88"/>
  <c r="G115" i="88"/>
  <c r="J114" i="88"/>
  <c r="F113" i="88"/>
  <c r="F115" i="88" s="1"/>
  <c r="K112" i="88"/>
  <c r="I112" i="88"/>
  <c r="H112" i="88"/>
  <c r="G112" i="88"/>
  <c r="F112" i="88"/>
  <c r="L111" i="88"/>
  <c r="J110" i="88"/>
  <c r="J112" i="88" s="1"/>
  <c r="K109" i="88"/>
  <c r="I109" i="88"/>
  <c r="H109" i="88"/>
  <c r="G109" i="88"/>
  <c r="F109" i="88"/>
  <c r="L108" i="88"/>
  <c r="J107" i="88"/>
  <c r="L107" i="88" s="1"/>
  <c r="K106" i="88"/>
  <c r="I106" i="88"/>
  <c r="H106" i="88"/>
  <c r="G106" i="88"/>
  <c r="F106" i="88"/>
  <c r="L105" i="88"/>
  <c r="J104" i="88"/>
  <c r="J106" i="88" s="1"/>
  <c r="K103" i="88"/>
  <c r="I103" i="88"/>
  <c r="H103" i="88"/>
  <c r="G103" i="88"/>
  <c r="L102" i="88"/>
  <c r="F101" i="88"/>
  <c r="J101" i="88" s="1"/>
  <c r="K100" i="88"/>
  <c r="I100" i="88"/>
  <c r="H100" i="88"/>
  <c r="G100" i="88"/>
  <c r="F100" i="88"/>
  <c r="L99" i="88"/>
  <c r="J98" i="88"/>
  <c r="J100" i="88" s="1"/>
  <c r="K97" i="88"/>
  <c r="I97" i="88"/>
  <c r="H97" i="88"/>
  <c r="G97" i="88"/>
  <c r="L96" i="88"/>
  <c r="F95" i="88"/>
  <c r="J95" i="88" s="1"/>
  <c r="K94" i="88"/>
  <c r="I94" i="88"/>
  <c r="H94" i="88"/>
  <c r="G94" i="88"/>
  <c r="L93" i="88"/>
  <c r="F92" i="88"/>
  <c r="K91" i="88"/>
  <c r="I91" i="88"/>
  <c r="H91" i="88"/>
  <c r="F91" i="88"/>
  <c r="L90" i="88"/>
  <c r="G89" i="88"/>
  <c r="G91" i="88" s="1"/>
  <c r="K88" i="88"/>
  <c r="I88" i="88"/>
  <c r="H88" i="88"/>
  <c r="F88" i="88"/>
  <c r="L87" i="88"/>
  <c r="G88" i="88"/>
  <c r="J114" i="86"/>
  <c r="K77" i="88"/>
  <c r="I77" i="88"/>
  <c r="H77" i="88"/>
  <c r="G77" i="88"/>
  <c r="F77" i="88"/>
  <c r="K76" i="88"/>
  <c r="H76" i="88"/>
  <c r="K75" i="88"/>
  <c r="I75" i="88"/>
  <c r="H75" i="88"/>
  <c r="G75" i="88"/>
  <c r="F75" i="88"/>
  <c r="L74" i="88"/>
  <c r="J73" i="88"/>
  <c r="L73" i="88" s="1"/>
  <c r="K72" i="88"/>
  <c r="H72" i="88"/>
  <c r="G72" i="88"/>
  <c r="F72" i="88"/>
  <c r="L71" i="88"/>
  <c r="I70" i="88"/>
  <c r="J70" i="88" s="1"/>
  <c r="K69" i="88"/>
  <c r="I69" i="88"/>
  <c r="H69" i="88"/>
  <c r="G69" i="88"/>
  <c r="F69" i="88"/>
  <c r="L68" i="88"/>
  <c r="J67" i="88"/>
  <c r="J69" i="88" s="1"/>
  <c r="K66" i="88"/>
  <c r="I66" i="88"/>
  <c r="H66" i="88"/>
  <c r="G66" i="88"/>
  <c r="F66" i="88"/>
  <c r="L65" i="88"/>
  <c r="J64" i="88"/>
  <c r="L64" i="88" s="1"/>
  <c r="K63" i="88"/>
  <c r="I63" i="88"/>
  <c r="H63" i="88"/>
  <c r="G63" i="88"/>
  <c r="F63" i="88"/>
  <c r="L62" i="88"/>
  <c r="J61" i="88"/>
  <c r="J63" i="88" s="1"/>
  <c r="K60" i="88"/>
  <c r="I60" i="88"/>
  <c r="H60" i="88"/>
  <c r="G60" i="88"/>
  <c r="F60" i="88"/>
  <c r="L59" i="88"/>
  <c r="J58" i="88"/>
  <c r="L58" i="88" s="1"/>
  <c r="K57" i="88"/>
  <c r="I57" i="88"/>
  <c r="H57" i="88"/>
  <c r="G57" i="88"/>
  <c r="F57" i="88"/>
  <c r="J56" i="88"/>
  <c r="L56" i="88" s="1"/>
  <c r="J55" i="88"/>
  <c r="L55" i="88" s="1"/>
  <c r="K54" i="88"/>
  <c r="I54" i="88"/>
  <c r="H54" i="88"/>
  <c r="G54" i="88"/>
  <c r="F54" i="88"/>
  <c r="J53" i="88"/>
  <c r="L53" i="88" s="1"/>
  <c r="J52" i="88"/>
  <c r="L52" i="88" s="1"/>
  <c r="K51" i="88"/>
  <c r="I51" i="88"/>
  <c r="H51" i="88"/>
  <c r="G51" i="88"/>
  <c r="F51" i="88"/>
  <c r="L50" i="88"/>
  <c r="J49" i="88"/>
  <c r="L49" i="88" s="1"/>
  <c r="K48" i="88"/>
  <c r="I48" i="88"/>
  <c r="H48" i="88"/>
  <c r="G48" i="88"/>
  <c r="F48" i="88"/>
  <c r="L47" i="88"/>
  <c r="J46" i="88"/>
  <c r="J48" i="88" s="1"/>
  <c r="K45" i="88"/>
  <c r="I45" i="88"/>
  <c r="H45" i="88"/>
  <c r="G45" i="88"/>
  <c r="F45" i="88"/>
  <c r="L44" i="88"/>
  <c r="J43" i="88"/>
  <c r="L43" i="88" s="1"/>
  <c r="K42" i="88"/>
  <c r="I42" i="88"/>
  <c r="H42" i="88"/>
  <c r="G42" i="88"/>
  <c r="J41" i="88"/>
  <c r="F40" i="88"/>
  <c r="F42" i="88" s="1"/>
  <c r="K39" i="88"/>
  <c r="I39" i="88"/>
  <c r="H39" i="88"/>
  <c r="G39" i="88"/>
  <c r="F39" i="88"/>
  <c r="L38" i="88"/>
  <c r="J37" i="88"/>
  <c r="J39" i="88" s="1"/>
  <c r="K36" i="88"/>
  <c r="I36" i="88"/>
  <c r="H36" i="88"/>
  <c r="G36" i="88"/>
  <c r="F36" i="88"/>
  <c r="L35" i="88"/>
  <c r="J34" i="88"/>
  <c r="L34" i="88" s="1"/>
  <c r="K33" i="88"/>
  <c r="I33" i="88"/>
  <c r="H33" i="88"/>
  <c r="G33" i="88"/>
  <c r="F33" i="88"/>
  <c r="L32" i="88"/>
  <c r="J31" i="88"/>
  <c r="J33" i="88" s="1"/>
  <c r="K30" i="88"/>
  <c r="I30" i="88"/>
  <c r="H30" i="88"/>
  <c r="G30" i="88"/>
  <c r="L29" i="88"/>
  <c r="F28" i="88"/>
  <c r="F30" i="88" s="1"/>
  <c r="K27" i="88"/>
  <c r="I27" i="88"/>
  <c r="H27" i="88"/>
  <c r="G27" i="88"/>
  <c r="F27" i="88"/>
  <c r="L26" i="88"/>
  <c r="J25" i="88"/>
  <c r="J27" i="88" s="1"/>
  <c r="K24" i="88"/>
  <c r="I24" i="88"/>
  <c r="H24" i="88"/>
  <c r="G24" i="88"/>
  <c r="L23" i="88"/>
  <c r="F22" i="88"/>
  <c r="J22" i="88" s="1"/>
  <c r="K21" i="88"/>
  <c r="I21" i="88"/>
  <c r="H21" i="88"/>
  <c r="G21" i="88"/>
  <c r="L20" i="88"/>
  <c r="F19" i="88"/>
  <c r="K18" i="88"/>
  <c r="I18" i="88"/>
  <c r="H18" i="88"/>
  <c r="F18" i="88"/>
  <c r="L17" i="88"/>
  <c r="G16" i="88"/>
  <c r="G18" i="88" s="1"/>
  <c r="K15" i="88"/>
  <c r="I15" i="88"/>
  <c r="H15" i="88"/>
  <c r="F15" i="88"/>
  <c r="L14" i="88"/>
  <c r="G13" i="88"/>
  <c r="G15" i="88" s="1"/>
  <c r="J146" i="86"/>
  <c r="I146" i="86"/>
  <c r="H146" i="86"/>
  <c r="G146" i="86"/>
  <c r="F146" i="86"/>
  <c r="K145" i="86"/>
  <c r="K144" i="86"/>
  <c r="J143" i="86"/>
  <c r="I143" i="86"/>
  <c r="H143" i="86"/>
  <c r="G143" i="86"/>
  <c r="F143" i="86"/>
  <c r="K142" i="86"/>
  <c r="K141" i="86"/>
  <c r="K143" i="86" s="1"/>
  <c r="J140" i="86"/>
  <c r="I140" i="86"/>
  <c r="H140" i="86"/>
  <c r="G140" i="86"/>
  <c r="F140" i="86"/>
  <c r="K139" i="86"/>
  <c r="K138" i="86"/>
  <c r="J137" i="86"/>
  <c r="I137" i="86"/>
  <c r="H137" i="86"/>
  <c r="G137" i="86"/>
  <c r="F137" i="86"/>
  <c r="K136" i="86"/>
  <c r="K135" i="86"/>
  <c r="J134" i="86"/>
  <c r="I134" i="86"/>
  <c r="H134" i="86"/>
  <c r="G134" i="86"/>
  <c r="F134" i="86"/>
  <c r="K133" i="86"/>
  <c r="K132" i="86"/>
  <c r="J131" i="86"/>
  <c r="I131" i="86"/>
  <c r="H131" i="86"/>
  <c r="G131" i="86"/>
  <c r="F131" i="86"/>
  <c r="K130" i="86"/>
  <c r="K129" i="86"/>
  <c r="K131" i="86" s="1"/>
  <c r="J128" i="86"/>
  <c r="I128" i="86"/>
  <c r="H128" i="86"/>
  <c r="G128" i="86"/>
  <c r="F128" i="86"/>
  <c r="K127" i="86"/>
  <c r="K126" i="86"/>
  <c r="J125" i="86"/>
  <c r="I125" i="86"/>
  <c r="H125" i="86"/>
  <c r="G125" i="86"/>
  <c r="F125" i="86"/>
  <c r="K124" i="86"/>
  <c r="K123" i="86"/>
  <c r="J122" i="86"/>
  <c r="I122" i="86"/>
  <c r="H122" i="86"/>
  <c r="G122" i="86"/>
  <c r="F122" i="86"/>
  <c r="K121" i="86"/>
  <c r="K120" i="86"/>
  <c r="J119" i="86"/>
  <c r="I119" i="86"/>
  <c r="H119" i="86"/>
  <c r="G119" i="86"/>
  <c r="F119" i="86"/>
  <c r="K118" i="86"/>
  <c r="K117" i="86"/>
  <c r="K119" i="86" s="1"/>
  <c r="J116" i="86"/>
  <c r="I116" i="86"/>
  <c r="H116" i="86"/>
  <c r="G116" i="86"/>
  <c r="F116" i="86"/>
  <c r="K115" i="86"/>
  <c r="K114" i="86"/>
  <c r="J110" i="86"/>
  <c r="I110" i="86"/>
  <c r="H110" i="86"/>
  <c r="G110" i="86"/>
  <c r="F110" i="86"/>
  <c r="K109" i="86"/>
  <c r="K108" i="86"/>
  <c r="J107" i="86"/>
  <c r="I107" i="86"/>
  <c r="H107" i="86"/>
  <c r="G107" i="86"/>
  <c r="F107" i="86"/>
  <c r="K106" i="86"/>
  <c r="K105" i="86"/>
  <c r="J104" i="86"/>
  <c r="I104" i="86"/>
  <c r="H104" i="86"/>
  <c r="G104" i="86"/>
  <c r="F104" i="86"/>
  <c r="K103" i="86"/>
  <c r="K102" i="86"/>
  <c r="K104" i="86" s="1"/>
  <c r="K93" i="86"/>
  <c r="K94" i="86"/>
  <c r="F95" i="86"/>
  <c r="G95" i="86"/>
  <c r="H95" i="86"/>
  <c r="I95" i="86"/>
  <c r="J95" i="86"/>
  <c r="K96" i="86"/>
  <c r="K97" i="86"/>
  <c r="F98" i="86"/>
  <c r="G98" i="86"/>
  <c r="H98" i="86"/>
  <c r="I98" i="86"/>
  <c r="J98" i="86"/>
  <c r="K99" i="86"/>
  <c r="K100" i="86"/>
  <c r="F101" i="86"/>
  <c r="G101" i="86"/>
  <c r="H101" i="86"/>
  <c r="I101" i="86"/>
  <c r="J101" i="86"/>
  <c r="J113" i="86"/>
  <c r="I113" i="86"/>
  <c r="H113" i="86"/>
  <c r="G113" i="86"/>
  <c r="F113" i="86"/>
  <c r="K112" i="86"/>
  <c r="K111" i="86"/>
  <c r="K113" i="86" s="1"/>
  <c r="I148" i="86"/>
  <c r="I147" i="86"/>
  <c r="J148" i="86"/>
  <c r="I92" i="86"/>
  <c r="K91" i="86"/>
  <c r="J147" i="86"/>
  <c r="H92" i="86"/>
  <c r="G92" i="86"/>
  <c r="F92" i="86"/>
  <c r="J89" i="86"/>
  <c r="I89" i="86"/>
  <c r="K88" i="86"/>
  <c r="H89" i="86"/>
  <c r="J86" i="86"/>
  <c r="I86" i="86"/>
  <c r="H86" i="86"/>
  <c r="G86" i="86"/>
  <c r="F86" i="86"/>
  <c r="K85" i="86"/>
  <c r="K84" i="86"/>
  <c r="I76" i="86"/>
  <c r="J74" i="86"/>
  <c r="H74" i="86"/>
  <c r="G74" i="86"/>
  <c r="F74" i="86"/>
  <c r="K73" i="86"/>
  <c r="I72" i="86"/>
  <c r="K72" i="86" s="1"/>
  <c r="J71" i="86"/>
  <c r="H71" i="86"/>
  <c r="G71" i="86"/>
  <c r="F71" i="86"/>
  <c r="K70" i="86"/>
  <c r="I69" i="86"/>
  <c r="K69" i="86" s="1"/>
  <c r="J68" i="86"/>
  <c r="H68" i="86"/>
  <c r="G68" i="86"/>
  <c r="F68" i="86"/>
  <c r="K67" i="86"/>
  <c r="I66" i="86"/>
  <c r="I68" i="86" s="1"/>
  <c r="J65" i="86"/>
  <c r="I65" i="86"/>
  <c r="H65" i="86"/>
  <c r="G65" i="86"/>
  <c r="F65" i="86"/>
  <c r="K64" i="86"/>
  <c r="K63" i="86"/>
  <c r="J62" i="86"/>
  <c r="I62" i="86"/>
  <c r="H62" i="86"/>
  <c r="G62" i="86"/>
  <c r="F62" i="86"/>
  <c r="K61" i="86"/>
  <c r="K60" i="86"/>
  <c r="J59" i="86"/>
  <c r="H59" i="86"/>
  <c r="G59" i="86"/>
  <c r="F59" i="86"/>
  <c r="K58" i="86"/>
  <c r="I57" i="86"/>
  <c r="K57" i="86" s="1"/>
  <c r="I56" i="86"/>
  <c r="G55" i="86"/>
  <c r="F55" i="86"/>
  <c r="J54" i="86"/>
  <c r="J56" i="86" s="1"/>
  <c r="H54" i="86"/>
  <c r="H56" i="86" s="1"/>
  <c r="F54" i="86"/>
  <c r="F56" i="86" s="1"/>
  <c r="J53" i="86"/>
  <c r="I53" i="86"/>
  <c r="G53" i="86"/>
  <c r="F53" i="86"/>
  <c r="K52" i="86"/>
  <c r="H51" i="86"/>
  <c r="H53" i="86" s="1"/>
  <c r="J50" i="86"/>
  <c r="I50" i="86"/>
  <c r="J49" i="86"/>
  <c r="J76" i="86" s="1"/>
  <c r="H49" i="86"/>
  <c r="G49" i="86"/>
  <c r="G50" i="86" s="1"/>
  <c r="F49" i="86"/>
  <c r="J48" i="86"/>
  <c r="H48" i="86"/>
  <c r="H50" i="86" s="1"/>
  <c r="J47" i="86"/>
  <c r="I47" i="86"/>
  <c r="H46" i="86"/>
  <c r="G46" i="86"/>
  <c r="G47" i="86" s="1"/>
  <c r="F46" i="86"/>
  <c r="H45" i="86"/>
  <c r="F45" i="86"/>
  <c r="I44" i="86"/>
  <c r="G43" i="86"/>
  <c r="F43" i="86"/>
  <c r="J42" i="86"/>
  <c r="J44" i="86" s="1"/>
  <c r="H42" i="86"/>
  <c r="H44" i="86" s="1"/>
  <c r="G42" i="86"/>
  <c r="F42" i="86"/>
  <c r="J41" i="86"/>
  <c r="I41" i="86"/>
  <c r="H41" i="86"/>
  <c r="G41" i="86"/>
  <c r="F41" i="86"/>
  <c r="K40" i="86"/>
  <c r="K39" i="86"/>
  <c r="J38" i="86"/>
  <c r="I38" i="86"/>
  <c r="H38" i="86"/>
  <c r="G38" i="86"/>
  <c r="F38" i="86"/>
  <c r="K37" i="86"/>
  <c r="K36" i="86"/>
  <c r="J35" i="86"/>
  <c r="I35" i="86"/>
  <c r="G34" i="86"/>
  <c r="G35" i="86" s="1"/>
  <c r="F34" i="86"/>
  <c r="F35" i="86" s="1"/>
  <c r="H33" i="86"/>
  <c r="K33" i="86" s="1"/>
  <c r="J32" i="86"/>
  <c r="I32" i="86"/>
  <c r="H32" i="86"/>
  <c r="G32" i="86"/>
  <c r="F32" i="86"/>
  <c r="K31" i="86"/>
  <c r="K30" i="86"/>
  <c r="J29" i="86"/>
  <c r="I29" i="86"/>
  <c r="G28" i="86"/>
  <c r="G29" i="86" s="1"/>
  <c r="F28" i="86"/>
  <c r="H27" i="86"/>
  <c r="H29" i="86" s="1"/>
  <c r="F27" i="86"/>
  <c r="K27" i="86" s="1"/>
  <c r="J26" i="86"/>
  <c r="I26" i="86"/>
  <c r="G26" i="86"/>
  <c r="K25" i="86"/>
  <c r="H24" i="86"/>
  <c r="H26" i="86" s="1"/>
  <c r="F24" i="86"/>
  <c r="F26" i="86" s="1"/>
  <c r="J23" i="86"/>
  <c r="I23" i="86"/>
  <c r="G23" i="86"/>
  <c r="K22" i="86"/>
  <c r="H21" i="86"/>
  <c r="H23" i="86" s="1"/>
  <c r="F21" i="86"/>
  <c r="F23" i="86" s="1"/>
  <c r="I20" i="86"/>
  <c r="G19" i="86"/>
  <c r="F19" i="86"/>
  <c r="K19" i="86" s="1"/>
  <c r="J18" i="86"/>
  <c r="J20" i="86" s="1"/>
  <c r="H18" i="86"/>
  <c r="G18" i="86"/>
  <c r="G20" i="86" s="1"/>
  <c r="F18" i="86"/>
  <c r="F20" i="86" s="1"/>
  <c r="J17" i="86"/>
  <c r="I17" i="86"/>
  <c r="K16" i="86"/>
  <c r="H15" i="86"/>
  <c r="H17" i="86" s="1"/>
  <c r="G15" i="86"/>
  <c r="F15" i="86"/>
  <c r="J14" i="86"/>
  <c r="I14" i="86"/>
  <c r="H14" i="86"/>
  <c r="G14" i="86"/>
  <c r="F14" i="86"/>
  <c r="K13" i="86"/>
  <c r="K12" i="86"/>
  <c r="L70" i="87"/>
  <c r="J70" i="87"/>
  <c r="I70" i="87"/>
  <c r="G70" i="87"/>
  <c r="F70" i="87"/>
  <c r="E70" i="87"/>
  <c r="K69" i="87"/>
  <c r="K70" i="87" s="1"/>
  <c r="H69" i="87"/>
  <c r="H70" i="87" s="1"/>
  <c r="F67" i="87"/>
  <c r="K66" i="87"/>
  <c r="H66" i="87"/>
  <c r="K65" i="87"/>
  <c r="G65" i="87"/>
  <c r="G67" i="87" s="1"/>
  <c r="G71" i="87" s="1"/>
  <c r="K64" i="87"/>
  <c r="H64" i="87"/>
  <c r="K63" i="87"/>
  <c r="H63" i="87"/>
  <c r="K62" i="87"/>
  <c r="H62" i="87"/>
  <c r="K61" i="87"/>
  <c r="H61" i="87"/>
  <c r="K60" i="87"/>
  <c r="H60" i="87"/>
  <c r="K59" i="87"/>
  <c r="H59" i="87"/>
  <c r="H58" i="87"/>
  <c r="K57" i="87"/>
  <c r="H57" i="87"/>
  <c r="K56" i="87"/>
  <c r="H56" i="87"/>
  <c r="K55" i="87"/>
  <c r="H55" i="87"/>
  <c r="K54" i="87"/>
  <c r="H54" i="87"/>
  <c r="K53" i="87"/>
  <c r="H53" i="87"/>
  <c r="K52" i="87"/>
  <c r="H52" i="87"/>
  <c r="K51" i="87"/>
  <c r="H51" i="87"/>
  <c r="K50" i="87"/>
  <c r="H50" i="87"/>
  <c r="K49" i="87"/>
  <c r="H49" i="87"/>
  <c r="J67" i="87"/>
  <c r="J71" i="87" s="1"/>
  <c r="H48" i="87"/>
  <c r="K47" i="87"/>
  <c r="H47" i="87"/>
  <c r="K46" i="87"/>
  <c r="E67" i="87"/>
  <c r="E71" i="87" s="1"/>
  <c r="L37" i="87"/>
  <c r="J37" i="87"/>
  <c r="I37" i="87"/>
  <c r="G37" i="87"/>
  <c r="F37" i="87"/>
  <c r="E37" i="87"/>
  <c r="K36" i="87"/>
  <c r="K37" i="87" s="1"/>
  <c r="H36" i="87"/>
  <c r="H37" i="87" s="1"/>
  <c r="F34" i="87"/>
  <c r="I33" i="87"/>
  <c r="K33" i="87" s="1"/>
  <c r="H33" i="87"/>
  <c r="I32" i="87"/>
  <c r="K32" i="87" s="1"/>
  <c r="G32" i="87"/>
  <c r="G34" i="87" s="1"/>
  <c r="K31" i="87"/>
  <c r="H31" i="87"/>
  <c r="K30" i="87"/>
  <c r="H30" i="87"/>
  <c r="I29" i="87"/>
  <c r="K29" i="87" s="1"/>
  <c r="H29" i="87"/>
  <c r="I28" i="87"/>
  <c r="K28" i="87" s="1"/>
  <c r="H28" i="87"/>
  <c r="J27" i="87"/>
  <c r="I27" i="87"/>
  <c r="H27" i="87"/>
  <c r="K26" i="87"/>
  <c r="H26" i="87"/>
  <c r="J25" i="87"/>
  <c r="I25" i="87"/>
  <c r="H25" i="87"/>
  <c r="K24" i="87"/>
  <c r="H24" i="87"/>
  <c r="J23" i="87"/>
  <c r="I23" i="87"/>
  <c r="H23" i="87"/>
  <c r="K22" i="87"/>
  <c r="H22" i="87"/>
  <c r="K21" i="87"/>
  <c r="H21" i="87"/>
  <c r="K20" i="87"/>
  <c r="H20" i="87"/>
  <c r="K19" i="87"/>
  <c r="H19" i="87"/>
  <c r="I18" i="87"/>
  <c r="K18" i="87" s="1"/>
  <c r="E18" i="87"/>
  <c r="H18" i="87" s="1"/>
  <c r="K17" i="87"/>
  <c r="H17" i="87"/>
  <c r="I16" i="87"/>
  <c r="K16" i="87" s="1"/>
  <c r="E16" i="87"/>
  <c r="H16" i="87" s="1"/>
  <c r="J15" i="87"/>
  <c r="I15" i="87"/>
  <c r="H15" i="87"/>
  <c r="E15" i="87"/>
  <c r="K14" i="87"/>
  <c r="E14" i="87"/>
  <c r="H14" i="87" s="1"/>
  <c r="K13" i="87"/>
  <c r="E13" i="87"/>
  <c r="L133" i="88" l="1"/>
  <c r="L33" i="88"/>
  <c r="J150" i="88"/>
  <c r="H151" i="88"/>
  <c r="J60" i="88"/>
  <c r="L60" i="88" s="1"/>
  <c r="J143" i="88"/>
  <c r="J145" i="88" s="1"/>
  <c r="L145" i="88" s="1"/>
  <c r="I145" i="88"/>
  <c r="K32" i="86"/>
  <c r="I74" i="86"/>
  <c r="L16" i="87"/>
  <c r="L20" i="87"/>
  <c r="J130" i="88"/>
  <c r="L130" i="88" s="1"/>
  <c r="L131" i="88"/>
  <c r="L106" i="88"/>
  <c r="L98" i="88"/>
  <c r="L128" i="88"/>
  <c r="L112" i="88"/>
  <c r="J148" i="88"/>
  <c r="L148" i="88" s="1"/>
  <c r="L121" i="88"/>
  <c r="L137" i="88"/>
  <c r="K151" i="88"/>
  <c r="K78" i="88"/>
  <c r="J66" i="88"/>
  <c r="L66" i="88" s="1"/>
  <c r="L39" i="88"/>
  <c r="J109" i="88"/>
  <c r="L109" i="88" s="1"/>
  <c r="L136" i="88"/>
  <c r="L142" i="88"/>
  <c r="G149" i="88"/>
  <c r="G151" i="88" s="1"/>
  <c r="L27" i="88"/>
  <c r="J77" i="88"/>
  <c r="L48" i="88"/>
  <c r="G76" i="88"/>
  <c r="G78" i="88" s="1"/>
  <c r="J86" i="88"/>
  <c r="J88" i="88" s="1"/>
  <c r="L88" i="88" s="1"/>
  <c r="L25" i="88"/>
  <c r="F149" i="88"/>
  <c r="F151" i="88" s="1"/>
  <c r="L100" i="88"/>
  <c r="J118" i="88"/>
  <c r="L118" i="88" s="1"/>
  <c r="J124" i="88"/>
  <c r="L124" i="88" s="1"/>
  <c r="I151" i="88"/>
  <c r="L101" i="88"/>
  <c r="J103" i="88"/>
  <c r="L103" i="88" s="1"/>
  <c r="J97" i="88"/>
  <c r="L97" i="88" s="1"/>
  <c r="L95" i="88"/>
  <c r="F97" i="88"/>
  <c r="J127" i="88"/>
  <c r="L127" i="88" s="1"/>
  <c r="F103" i="88"/>
  <c r="L104" i="88"/>
  <c r="L119" i="88"/>
  <c r="L134" i="88"/>
  <c r="J92" i="88"/>
  <c r="L114" i="88"/>
  <c r="L150" i="88" s="1"/>
  <c r="F94" i="88"/>
  <c r="L110" i="88"/>
  <c r="L140" i="88"/>
  <c r="J89" i="88"/>
  <c r="J113" i="88"/>
  <c r="K62" i="86"/>
  <c r="K71" i="86"/>
  <c r="K137" i="86"/>
  <c r="K146" i="86"/>
  <c r="K140" i="86"/>
  <c r="K134" i="86"/>
  <c r="K125" i="86"/>
  <c r="K122" i="86"/>
  <c r="K128" i="86"/>
  <c r="K95" i="86"/>
  <c r="K107" i="86"/>
  <c r="K110" i="86"/>
  <c r="K116" i="86"/>
  <c r="K98" i="86"/>
  <c r="K101" i="86"/>
  <c r="K14" i="86"/>
  <c r="K41" i="86"/>
  <c r="K38" i="86"/>
  <c r="K74" i="86"/>
  <c r="L19" i="87"/>
  <c r="K23" i="87"/>
  <c r="J13" i="88"/>
  <c r="L13" i="88" s="1"/>
  <c r="J36" i="88"/>
  <c r="L36" i="88" s="1"/>
  <c r="J51" i="88"/>
  <c r="L51" i="88" s="1"/>
  <c r="L69" i="88"/>
  <c r="I72" i="88"/>
  <c r="J75" i="88"/>
  <c r="L75" i="88" s="1"/>
  <c r="H78" i="88"/>
  <c r="F76" i="88"/>
  <c r="F78" i="88" s="1"/>
  <c r="J45" i="88"/>
  <c r="L45" i="88" s="1"/>
  <c r="J57" i="88"/>
  <c r="L57" i="88" s="1"/>
  <c r="L63" i="88"/>
  <c r="L70" i="88"/>
  <c r="J72" i="88"/>
  <c r="L72" i="88" s="1"/>
  <c r="J24" i="88"/>
  <c r="L24" i="88" s="1"/>
  <c r="L22" i="88"/>
  <c r="F24" i="88"/>
  <c r="L37" i="88"/>
  <c r="L61" i="88"/>
  <c r="J19" i="88"/>
  <c r="J28" i="88"/>
  <c r="L41" i="88"/>
  <c r="L77" i="88" s="1"/>
  <c r="I76" i="88"/>
  <c r="I78" i="88" s="1"/>
  <c r="J54" i="88"/>
  <c r="L54" i="88" s="1"/>
  <c r="F21" i="88"/>
  <c r="L31" i="88"/>
  <c r="L46" i="88"/>
  <c r="L67" i="88"/>
  <c r="J16" i="88"/>
  <c r="J40" i="88"/>
  <c r="J149" i="86"/>
  <c r="I149" i="86"/>
  <c r="G44" i="86"/>
  <c r="K21" i="86"/>
  <c r="K23" i="86" s="1"/>
  <c r="G148" i="86"/>
  <c r="F147" i="86"/>
  <c r="G75" i="86"/>
  <c r="K43" i="86"/>
  <c r="K55" i="86"/>
  <c r="G147" i="86"/>
  <c r="H148" i="86"/>
  <c r="F89" i="86"/>
  <c r="H147" i="86"/>
  <c r="F148" i="86"/>
  <c r="G89" i="86"/>
  <c r="K86" i="86"/>
  <c r="K87" i="86"/>
  <c r="K89" i="86" s="1"/>
  <c r="K90" i="86"/>
  <c r="K92" i="86" s="1"/>
  <c r="J92" i="86"/>
  <c r="H75" i="86"/>
  <c r="K15" i="86"/>
  <c r="K17" i="86" s="1"/>
  <c r="F29" i="86"/>
  <c r="K42" i="86"/>
  <c r="K46" i="86"/>
  <c r="I71" i="86"/>
  <c r="F75" i="86"/>
  <c r="H35" i="86"/>
  <c r="K45" i="86"/>
  <c r="K47" i="86" s="1"/>
  <c r="K49" i="86"/>
  <c r="F50" i="86"/>
  <c r="K59" i="86"/>
  <c r="G76" i="86"/>
  <c r="K28" i="86"/>
  <c r="K29" i="86" s="1"/>
  <c r="F47" i="86"/>
  <c r="K65" i="86"/>
  <c r="F44" i="86"/>
  <c r="F17" i="86"/>
  <c r="H20" i="86"/>
  <c r="K24" i="86"/>
  <c r="K26" i="86" s="1"/>
  <c r="K34" i="86"/>
  <c r="K48" i="86"/>
  <c r="K50" i="86" s="1"/>
  <c r="K54" i="86"/>
  <c r="I59" i="86"/>
  <c r="K66" i="86"/>
  <c r="K68" i="86" s="1"/>
  <c r="F76" i="86"/>
  <c r="G17" i="86"/>
  <c r="K51" i="86"/>
  <c r="K53" i="86" s="1"/>
  <c r="G56" i="86"/>
  <c r="I75" i="86"/>
  <c r="I77" i="86" s="1"/>
  <c r="K18" i="86"/>
  <c r="K20" i="86" s="1"/>
  <c r="H47" i="86"/>
  <c r="J75" i="86"/>
  <c r="J77" i="86" s="1"/>
  <c r="H76" i="86"/>
  <c r="K58" i="87"/>
  <c r="K25" i="87"/>
  <c r="H65" i="87"/>
  <c r="K15" i="87"/>
  <c r="L15" i="87" s="1"/>
  <c r="L17" i="87"/>
  <c r="K27" i="87"/>
  <c r="K48" i="87"/>
  <c r="F71" i="87"/>
  <c r="H46" i="87"/>
  <c r="H67" i="87" s="1"/>
  <c r="H71" i="87" s="1"/>
  <c r="I67" i="87"/>
  <c r="I71" i="87" s="1"/>
  <c r="G38" i="87"/>
  <c r="J34" i="87"/>
  <c r="J38" i="87" s="1"/>
  <c r="L21" i="87"/>
  <c r="H32" i="87"/>
  <c r="E34" i="87"/>
  <c r="E38" i="87" s="1"/>
  <c r="F38" i="87"/>
  <c r="L18" i="87"/>
  <c r="H13" i="87"/>
  <c r="I34" i="87"/>
  <c r="I38" i="87" s="1"/>
  <c r="F29" i="55"/>
  <c r="J15" i="88" l="1"/>
  <c r="L15" i="88" s="1"/>
  <c r="L143" i="88"/>
  <c r="G77" i="86"/>
  <c r="K34" i="87"/>
  <c r="K38" i="87" s="1"/>
  <c r="L86" i="88"/>
  <c r="J91" i="88"/>
  <c r="L91" i="88" s="1"/>
  <c r="L89" i="88"/>
  <c r="L92" i="88"/>
  <c r="J94" i="88"/>
  <c r="L94" i="88" s="1"/>
  <c r="J115" i="88"/>
  <c r="L115" i="88" s="1"/>
  <c r="L113" i="88"/>
  <c r="J149" i="88"/>
  <c r="J151" i="88" s="1"/>
  <c r="K44" i="86"/>
  <c r="H77" i="86"/>
  <c r="L28" i="88"/>
  <c r="J30" i="88"/>
  <c r="L30" i="88" s="1"/>
  <c r="J42" i="88"/>
  <c r="L42" i="88" s="1"/>
  <c r="L40" i="88"/>
  <c r="L19" i="88"/>
  <c r="J21" i="88"/>
  <c r="L21" i="88" s="1"/>
  <c r="J76" i="88"/>
  <c r="J78" i="88" s="1"/>
  <c r="J18" i="88"/>
  <c r="L18" i="88" s="1"/>
  <c r="L16" i="88"/>
  <c r="G149" i="86"/>
  <c r="H149" i="86"/>
  <c r="K76" i="86"/>
  <c r="F149" i="86"/>
  <c r="F77" i="86"/>
  <c r="K148" i="86"/>
  <c r="K56" i="86"/>
  <c r="K147" i="86"/>
  <c r="K75" i="86"/>
  <c r="K35" i="86"/>
  <c r="K67" i="87"/>
  <c r="K71" i="87" s="1"/>
  <c r="L67" i="87"/>
  <c r="L71" i="87" s="1"/>
  <c r="H34" i="87"/>
  <c r="H38" i="87" s="1"/>
  <c r="L34" i="87"/>
  <c r="L38" i="87" s="1"/>
  <c r="L149" i="88" l="1"/>
  <c r="L151" i="88" s="1"/>
  <c r="L76" i="88"/>
  <c r="L78" i="88" s="1"/>
  <c r="K77" i="86"/>
  <c r="K149" i="86"/>
  <c r="D30" i="55" l="1"/>
  <c r="E30" i="55"/>
  <c r="C30" i="55"/>
  <c r="D35" i="63" l="1"/>
  <c r="C35" i="63"/>
  <c r="C36" i="63" s="1"/>
  <c r="F19" i="63"/>
  <c r="F20" i="63"/>
  <c r="F21" i="63"/>
  <c r="F22" i="63"/>
  <c r="F23" i="63"/>
  <c r="F24" i="63"/>
  <c r="F25" i="63"/>
  <c r="F26" i="63"/>
  <c r="F27" i="63"/>
  <c r="F28" i="63"/>
  <c r="F29" i="63"/>
  <c r="F30" i="63"/>
  <c r="F31" i="63"/>
  <c r="F32" i="63"/>
  <c r="F33" i="63"/>
  <c r="F34" i="63"/>
  <c r="M29" i="54" l="1"/>
  <c r="F126" i="79" l="1"/>
  <c r="D124" i="79" l="1"/>
  <c r="K93" i="79" l="1"/>
  <c r="J93" i="79"/>
  <c r="I93" i="79"/>
  <c r="H93" i="79"/>
  <c r="G93" i="79"/>
  <c r="F93" i="79"/>
  <c r="L92" i="79"/>
  <c r="L91" i="79"/>
  <c r="K90" i="79"/>
  <c r="J90" i="79"/>
  <c r="I90" i="79"/>
  <c r="H90" i="79"/>
  <c r="G90" i="79"/>
  <c r="F90" i="79"/>
  <c r="L89" i="79"/>
  <c r="L88" i="79"/>
  <c r="L93" i="79" l="1"/>
  <c r="L90" i="79"/>
  <c r="I109" i="79" l="1"/>
  <c r="L85" i="79" l="1"/>
  <c r="L86" i="79"/>
  <c r="F87" i="79"/>
  <c r="G87" i="79"/>
  <c r="H87" i="79"/>
  <c r="J87" i="79"/>
  <c r="K87" i="79"/>
  <c r="I96" i="79"/>
  <c r="L95" i="79"/>
  <c r="F96" i="79"/>
  <c r="G96" i="79"/>
  <c r="H96" i="79"/>
  <c r="J96" i="79"/>
  <c r="K96" i="79"/>
  <c r="L94" i="79" l="1"/>
  <c r="L96" i="79" s="1"/>
  <c r="I87" i="79"/>
  <c r="L87" i="79"/>
  <c r="L49" i="79" l="1"/>
  <c r="L50" i="79"/>
  <c r="L51" i="79" l="1"/>
  <c r="L10" i="79"/>
  <c r="L11" i="79"/>
  <c r="F12" i="79"/>
  <c r="G12" i="79"/>
  <c r="H12" i="79"/>
  <c r="I12" i="79"/>
  <c r="J12" i="79"/>
  <c r="K12" i="79"/>
  <c r="L13" i="79"/>
  <c r="L14" i="79"/>
  <c r="F15" i="79"/>
  <c r="G15" i="79"/>
  <c r="H15" i="79"/>
  <c r="I15" i="79"/>
  <c r="J15" i="79"/>
  <c r="K15" i="79"/>
  <c r="L15" i="79" l="1"/>
  <c r="L12" i="79"/>
  <c r="E42" i="63" l="1"/>
  <c r="P47" i="53"/>
  <c r="N13" i="53"/>
  <c r="F18" i="63" l="1"/>
  <c r="G20" i="39" l="1"/>
  <c r="H20" i="54"/>
  <c r="K120" i="79" l="1"/>
  <c r="J120" i="79"/>
  <c r="H120" i="79"/>
  <c r="G120" i="79"/>
  <c r="F120" i="79"/>
  <c r="L119" i="79"/>
  <c r="L118" i="79"/>
  <c r="K117" i="79"/>
  <c r="J117" i="79"/>
  <c r="H117" i="79"/>
  <c r="G117" i="79"/>
  <c r="F117" i="79"/>
  <c r="L116" i="79"/>
  <c r="K114" i="79"/>
  <c r="J114" i="79"/>
  <c r="H114" i="79"/>
  <c r="G114" i="79"/>
  <c r="F114" i="79"/>
  <c r="L113" i="79"/>
  <c r="L112" i="79"/>
  <c r="K111" i="79"/>
  <c r="J111" i="79"/>
  <c r="H111" i="79"/>
  <c r="G111" i="79"/>
  <c r="F111" i="79"/>
  <c r="L110" i="79"/>
  <c r="L109" i="79"/>
  <c r="I117" i="79" l="1"/>
  <c r="L111" i="79"/>
  <c r="L120" i="79"/>
  <c r="I121" i="79"/>
  <c r="I124" i="79" s="1"/>
  <c r="L114" i="79"/>
  <c r="I120" i="79"/>
  <c r="I114" i="79"/>
  <c r="L115" i="79"/>
  <c r="L117" i="79" s="1"/>
  <c r="I111" i="79"/>
  <c r="K69" i="79" l="1"/>
  <c r="J69" i="79"/>
  <c r="I69" i="79"/>
  <c r="H69" i="79"/>
  <c r="G69" i="79"/>
  <c r="F69" i="79"/>
  <c r="L68" i="79"/>
  <c r="L67" i="79"/>
  <c r="L64" i="79"/>
  <c r="L69" i="79" l="1"/>
  <c r="K36" i="79" l="1"/>
  <c r="K33" i="79"/>
  <c r="K30" i="79"/>
  <c r="K24" i="79"/>
  <c r="K21" i="79"/>
  <c r="L23" i="79"/>
  <c r="L22" i="79"/>
  <c r="L20" i="79"/>
  <c r="L19" i="79"/>
  <c r="E26" i="55" l="1"/>
  <c r="F17" i="63" l="1"/>
  <c r="D36" i="63"/>
  <c r="E35" i="63"/>
  <c r="E36" i="63" s="1"/>
  <c r="F36" i="63" l="1"/>
  <c r="N46" i="53"/>
  <c r="F15" i="64" l="1"/>
  <c r="F18" i="55" l="1"/>
  <c r="F19" i="55"/>
  <c r="F20" i="55"/>
  <c r="F21" i="55"/>
  <c r="F22" i="55"/>
  <c r="F23" i="55"/>
  <c r="F24" i="55"/>
  <c r="F25" i="55"/>
  <c r="F10" i="55"/>
  <c r="F11" i="55"/>
  <c r="F12" i="55"/>
  <c r="F14" i="55"/>
  <c r="F15" i="55"/>
  <c r="F16" i="55"/>
  <c r="F17" i="55"/>
  <c r="H126" i="79" l="1"/>
  <c r="K126" i="79"/>
  <c r="G126" i="79"/>
  <c r="J126" i="79"/>
  <c r="I126" i="79" l="1"/>
  <c r="K123" i="79" l="1"/>
  <c r="J123" i="79"/>
  <c r="I123" i="79"/>
  <c r="H123" i="79"/>
  <c r="G123" i="79"/>
  <c r="F123" i="79"/>
  <c r="L122" i="79"/>
  <c r="L121" i="79"/>
  <c r="K78" i="79"/>
  <c r="J78" i="79"/>
  <c r="I78" i="79"/>
  <c r="H78" i="79"/>
  <c r="G78" i="79"/>
  <c r="F78" i="79"/>
  <c r="L77" i="79"/>
  <c r="L76" i="79"/>
  <c r="K130" i="79"/>
  <c r="K134" i="79"/>
  <c r="K136" i="79" s="1"/>
  <c r="K60" i="79"/>
  <c r="K63" i="79"/>
  <c r="K66" i="79"/>
  <c r="K72" i="79"/>
  <c r="K75" i="79"/>
  <c r="K48" i="79"/>
  <c r="K51" i="79"/>
  <c r="K54" i="79"/>
  <c r="K57" i="79"/>
  <c r="K39" i="79"/>
  <c r="K42" i="79"/>
  <c r="K45" i="79"/>
  <c r="F138" i="79"/>
  <c r="G134" i="79"/>
  <c r="G136" i="79" s="1"/>
  <c r="H134" i="79"/>
  <c r="H136" i="79" s="1"/>
  <c r="I134" i="79"/>
  <c r="I136" i="79" s="1"/>
  <c r="J134" i="79"/>
  <c r="J136" i="79" s="1"/>
  <c r="C137" i="79"/>
  <c r="J130" i="79"/>
  <c r="I130" i="79"/>
  <c r="H130" i="79"/>
  <c r="G130" i="79"/>
  <c r="F130" i="79"/>
  <c r="L129" i="79"/>
  <c r="L135" i="79" s="1"/>
  <c r="L128" i="79"/>
  <c r="J75" i="79"/>
  <c r="I75" i="79"/>
  <c r="H75" i="79"/>
  <c r="G75" i="79"/>
  <c r="F75" i="79"/>
  <c r="L74" i="79"/>
  <c r="L73" i="79"/>
  <c r="J72" i="79"/>
  <c r="I72" i="79"/>
  <c r="H72" i="79"/>
  <c r="G72" i="79"/>
  <c r="F72" i="79"/>
  <c r="L71" i="79"/>
  <c r="L70" i="79"/>
  <c r="J66" i="79"/>
  <c r="I66" i="79"/>
  <c r="H66" i="79"/>
  <c r="G66" i="79"/>
  <c r="F66" i="79"/>
  <c r="L65" i="79"/>
  <c r="J63" i="79"/>
  <c r="I63" i="79"/>
  <c r="H63" i="79"/>
  <c r="G63" i="79"/>
  <c r="F63" i="79"/>
  <c r="L62" i="79"/>
  <c r="L61" i="79"/>
  <c r="J60" i="79"/>
  <c r="I60" i="79"/>
  <c r="H60" i="79"/>
  <c r="G60" i="79"/>
  <c r="F60" i="79"/>
  <c r="L59" i="79"/>
  <c r="L58" i="79"/>
  <c r="J57" i="79"/>
  <c r="I57" i="79"/>
  <c r="H57" i="79"/>
  <c r="G57" i="79"/>
  <c r="F57" i="79"/>
  <c r="L56" i="79"/>
  <c r="L55" i="79"/>
  <c r="J54" i="79"/>
  <c r="I54" i="79"/>
  <c r="H54" i="79"/>
  <c r="G54" i="79"/>
  <c r="F54" i="79"/>
  <c r="L53" i="79"/>
  <c r="L52" i="79"/>
  <c r="J51" i="79"/>
  <c r="I51" i="79"/>
  <c r="H51" i="79"/>
  <c r="G51" i="79"/>
  <c r="F51" i="79"/>
  <c r="J48" i="79"/>
  <c r="I48" i="79"/>
  <c r="H48" i="79"/>
  <c r="G48" i="79"/>
  <c r="F48" i="79"/>
  <c r="L47" i="79"/>
  <c r="L46" i="79"/>
  <c r="J45" i="79"/>
  <c r="I45" i="79"/>
  <c r="H45" i="79"/>
  <c r="G45" i="79"/>
  <c r="F45" i="79"/>
  <c r="L44" i="79"/>
  <c r="L43" i="79"/>
  <c r="J42" i="79"/>
  <c r="I42" i="79"/>
  <c r="H42" i="79"/>
  <c r="G42" i="79"/>
  <c r="F42" i="79"/>
  <c r="L41" i="79"/>
  <c r="L40" i="79"/>
  <c r="J39" i="79"/>
  <c r="I39" i="79"/>
  <c r="H39" i="79"/>
  <c r="G39" i="79"/>
  <c r="F39" i="79"/>
  <c r="L38" i="79"/>
  <c r="L37" i="79"/>
  <c r="J36" i="79"/>
  <c r="I36" i="79"/>
  <c r="H36" i="79"/>
  <c r="G36" i="79"/>
  <c r="F36" i="79"/>
  <c r="L35" i="79"/>
  <c r="L34" i="79"/>
  <c r="J33" i="79"/>
  <c r="I33" i="79"/>
  <c r="H33" i="79"/>
  <c r="G33" i="79"/>
  <c r="F33" i="79"/>
  <c r="L32" i="79"/>
  <c r="L31" i="79"/>
  <c r="J30" i="79"/>
  <c r="I30" i="79"/>
  <c r="H30" i="79"/>
  <c r="G30" i="79"/>
  <c r="F30" i="79"/>
  <c r="L29" i="79"/>
  <c r="L28" i="79"/>
  <c r="J24" i="79"/>
  <c r="I24" i="79"/>
  <c r="H24" i="79"/>
  <c r="G24" i="79"/>
  <c r="F24" i="79"/>
  <c r="J21" i="79"/>
  <c r="I21" i="79"/>
  <c r="H21" i="79"/>
  <c r="G21" i="79"/>
  <c r="F21" i="79"/>
  <c r="L124" i="79" l="1"/>
  <c r="L125" i="79"/>
  <c r="J138" i="79"/>
  <c r="L78" i="79"/>
  <c r="L123" i="79"/>
  <c r="G138" i="79"/>
  <c r="F137" i="79"/>
  <c r="F139" i="79" s="1"/>
  <c r="L130" i="79"/>
  <c r="I138" i="79"/>
  <c r="G137" i="79"/>
  <c r="D137" i="79"/>
  <c r="H137" i="79"/>
  <c r="J137" i="79"/>
  <c r="H138" i="79"/>
  <c r="K138" i="79"/>
  <c r="K137" i="79"/>
  <c r="I137" i="79"/>
  <c r="F136" i="79"/>
  <c r="L134" i="79"/>
  <c r="L136" i="79" s="1"/>
  <c r="L42" i="79"/>
  <c r="L48" i="79"/>
  <c r="L60" i="79"/>
  <c r="L66" i="79"/>
  <c r="L39" i="79"/>
  <c r="L57" i="79"/>
  <c r="L45" i="79"/>
  <c r="L54" i="79"/>
  <c r="L75" i="79"/>
  <c r="L36" i="79"/>
  <c r="L72" i="79"/>
  <c r="L24" i="79"/>
  <c r="L21" i="79"/>
  <c r="L63" i="79"/>
  <c r="L33" i="79"/>
  <c r="L30" i="79"/>
  <c r="L126" i="79" l="1"/>
  <c r="G139" i="79"/>
  <c r="L138" i="79"/>
  <c r="J139" i="79"/>
  <c r="I139" i="79"/>
  <c r="L137" i="79"/>
  <c r="H139" i="79"/>
  <c r="K139" i="79"/>
  <c r="L139" i="79" l="1"/>
  <c r="C18" i="64" l="1"/>
  <c r="F15" i="63"/>
  <c r="F16" i="63"/>
  <c r="D26" i="55"/>
  <c r="D31" i="55" s="1"/>
  <c r="C26" i="55"/>
  <c r="F26" i="55" l="1"/>
  <c r="G18" i="39" l="1"/>
  <c r="F20" i="39"/>
  <c r="H20" i="39" s="1"/>
  <c r="F18" i="39"/>
  <c r="G55" i="53" l="1"/>
  <c r="N29" i="53" l="1"/>
  <c r="F39" i="63" l="1"/>
  <c r="F41" i="63"/>
  <c r="F40" i="63"/>
  <c r="F14" i="63"/>
  <c r="F13" i="63"/>
  <c r="F11" i="64"/>
  <c r="E43" i="63"/>
  <c r="D42" i="63"/>
  <c r="D43" i="63" s="1"/>
  <c r="C42" i="63"/>
  <c r="C43" i="63" s="1"/>
  <c r="F43" i="63" l="1"/>
  <c r="F35" i="63"/>
  <c r="F42" i="63"/>
  <c r="C44" i="63"/>
  <c r="D44" i="63"/>
  <c r="E44" i="63" l="1"/>
  <c r="F44" i="63" s="1"/>
  <c r="E18" i="64" l="1"/>
  <c r="H47" i="53" l="1"/>
  <c r="F17" i="54" l="1"/>
  <c r="H66" i="53" l="1"/>
  <c r="N64" i="53" l="1"/>
  <c r="N42" i="53"/>
  <c r="N41" i="53" s="1"/>
  <c r="F50" i="53"/>
  <c r="F46" i="53"/>
  <c r="F42" i="53"/>
  <c r="F25" i="53"/>
  <c r="F21" i="53"/>
  <c r="F13" i="53"/>
  <c r="N42" i="54"/>
  <c r="N41" i="54" s="1"/>
  <c r="N21" i="54"/>
  <c r="N17" i="54"/>
  <c r="N13" i="54"/>
  <c r="F42" i="54"/>
  <c r="F41" i="54" s="1"/>
  <c r="F21" i="54"/>
  <c r="F13" i="54"/>
  <c r="F12" i="54" l="1"/>
  <c r="F41" i="53"/>
  <c r="N12" i="54"/>
  <c r="F12" i="53"/>
  <c r="F30" i="55" l="1"/>
  <c r="F12" i="64" l="1"/>
  <c r="F13" i="64"/>
  <c r="F14" i="64"/>
  <c r="F16" i="64"/>
  <c r="F17" i="64"/>
  <c r="D18" i="64"/>
  <c r="F18" i="64" s="1"/>
  <c r="F28" i="55" l="1"/>
  <c r="P57" i="39" l="1"/>
  <c r="P62" i="39" s="1"/>
  <c r="P56" i="39"/>
  <c r="H65" i="53" l="1"/>
  <c r="P65" i="53"/>
  <c r="P66" i="53"/>
  <c r="P43" i="53"/>
  <c r="P33" i="53"/>
  <c r="P32" i="53"/>
  <c r="P31" i="53"/>
  <c r="P30" i="53"/>
  <c r="P23" i="53"/>
  <c r="P22" i="53"/>
  <c r="P19" i="53"/>
  <c r="P18" i="53"/>
  <c r="P15" i="53"/>
  <c r="P14" i="53"/>
  <c r="H26" i="53"/>
  <c r="H22" i="53"/>
  <c r="H14" i="53"/>
  <c r="P43" i="54"/>
  <c r="P22" i="54"/>
  <c r="P18" i="54"/>
  <c r="P14" i="54"/>
  <c r="H66" i="54"/>
  <c r="H65" i="54"/>
  <c r="H22" i="54"/>
  <c r="H14" i="54"/>
  <c r="O29" i="53"/>
  <c r="N21" i="53"/>
  <c r="O21" i="53"/>
  <c r="O13" i="53"/>
  <c r="N17" i="53"/>
  <c r="O17" i="53"/>
  <c r="P29" i="53" l="1"/>
  <c r="P13" i="53"/>
  <c r="P21" i="53"/>
  <c r="P17" i="53"/>
  <c r="N12" i="53"/>
  <c r="O12" i="53"/>
  <c r="P12" i="53" l="1"/>
  <c r="N14" i="39"/>
  <c r="N18" i="39"/>
  <c r="N22" i="39"/>
  <c r="N26" i="39"/>
  <c r="N30" i="39"/>
  <c r="N51" i="39"/>
  <c r="N47" i="39"/>
  <c r="N43" i="39"/>
  <c r="N66" i="39"/>
  <c r="N64" i="39" s="1"/>
  <c r="O14" i="39"/>
  <c r="O18" i="39"/>
  <c r="O22" i="39"/>
  <c r="O26" i="39"/>
  <c r="O30" i="39"/>
  <c r="O51" i="39"/>
  <c r="O47" i="39"/>
  <c r="O43" i="39"/>
  <c r="O66" i="39"/>
  <c r="M14" i="39"/>
  <c r="M18" i="39"/>
  <c r="M22" i="39"/>
  <c r="M26" i="39"/>
  <c r="M30" i="39"/>
  <c r="M51" i="39"/>
  <c r="M47" i="39"/>
  <c r="M43" i="39"/>
  <c r="M66" i="39"/>
  <c r="M64" i="39" s="1"/>
  <c r="N15" i="39"/>
  <c r="N19" i="39"/>
  <c r="N23" i="39"/>
  <c r="N33" i="39"/>
  <c r="N27" i="39"/>
  <c r="N52" i="39"/>
  <c r="N48" i="39"/>
  <c r="N44" i="39"/>
  <c r="O15" i="39"/>
  <c r="O19" i="39"/>
  <c r="O23" i="39"/>
  <c r="O33" i="39"/>
  <c r="O27" i="39"/>
  <c r="O52" i="39"/>
  <c r="O48" i="39"/>
  <c r="O44" i="39"/>
  <c r="M15" i="39"/>
  <c r="M19" i="39"/>
  <c r="M23" i="39"/>
  <c r="M33" i="39"/>
  <c r="M27" i="39"/>
  <c r="M52" i="39"/>
  <c r="M48" i="39"/>
  <c r="M44" i="39"/>
  <c r="N16" i="39"/>
  <c r="N20" i="39"/>
  <c r="N24" i="39"/>
  <c r="N34" i="39"/>
  <c r="N53" i="39"/>
  <c r="N49" i="39"/>
  <c r="N45" i="39"/>
  <c r="O16" i="39"/>
  <c r="O20" i="39"/>
  <c r="O24" i="39"/>
  <c r="O34" i="39"/>
  <c r="O53" i="39"/>
  <c r="O49" i="39"/>
  <c r="O45" i="39"/>
  <c r="M16" i="39"/>
  <c r="M20" i="39"/>
  <c r="M24" i="39"/>
  <c r="M34" i="39"/>
  <c r="M53" i="39"/>
  <c r="M49" i="39"/>
  <c r="M45" i="39"/>
  <c r="F26" i="39"/>
  <c r="F22" i="39"/>
  <c r="F14" i="39"/>
  <c r="F51" i="39"/>
  <c r="F47" i="39"/>
  <c r="F43" i="39"/>
  <c r="F65" i="39"/>
  <c r="F66" i="39"/>
  <c r="G26" i="39"/>
  <c r="G22" i="39"/>
  <c r="G14" i="39"/>
  <c r="G51" i="39"/>
  <c r="G47" i="39"/>
  <c r="G43" i="39"/>
  <c r="G65" i="39"/>
  <c r="G66" i="39"/>
  <c r="E26" i="39"/>
  <c r="E22" i="39"/>
  <c r="E18" i="39"/>
  <c r="E14" i="39"/>
  <c r="E51" i="39"/>
  <c r="E47" i="39"/>
  <c r="E43" i="39"/>
  <c r="E65" i="39"/>
  <c r="E66" i="39"/>
  <c r="F27" i="39"/>
  <c r="F23" i="39"/>
  <c r="F19" i="39"/>
  <c r="F15" i="39"/>
  <c r="F52" i="39"/>
  <c r="F48" i="39"/>
  <c r="F44" i="39"/>
  <c r="F28" i="39"/>
  <c r="F24" i="39"/>
  <c r="F16" i="39"/>
  <c r="F53" i="39"/>
  <c r="F49" i="39"/>
  <c r="F45" i="39"/>
  <c r="G27" i="39"/>
  <c r="G23" i="39"/>
  <c r="G19" i="39"/>
  <c r="G15" i="39"/>
  <c r="G52" i="39"/>
  <c r="G48" i="39"/>
  <c r="G44" i="39"/>
  <c r="G28" i="39"/>
  <c r="G24" i="39"/>
  <c r="G16" i="39"/>
  <c r="G53" i="39"/>
  <c r="G49" i="39"/>
  <c r="G45" i="39"/>
  <c r="E27" i="39"/>
  <c r="E23" i="39"/>
  <c r="E19" i="39"/>
  <c r="E15" i="39"/>
  <c r="E52" i="39"/>
  <c r="E48" i="39"/>
  <c r="E44" i="39"/>
  <c r="E28" i="39"/>
  <c r="E24" i="39"/>
  <c r="E20" i="39"/>
  <c r="E16" i="39"/>
  <c r="E53" i="39"/>
  <c r="E49" i="39"/>
  <c r="E45" i="39"/>
  <c r="N36" i="54"/>
  <c r="N55" i="54"/>
  <c r="N37" i="54"/>
  <c r="N56" i="54"/>
  <c r="N38" i="54"/>
  <c r="N57" i="54"/>
  <c r="O36" i="54"/>
  <c r="O55" i="54"/>
  <c r="O37" i="54"/>
  <c r="O56" i="54"/>
  <c r="O38" i="54"/>
  <c r="O57" i="54"/>
  <c r="M36" i="54"/>
  <c r="M55" i="54"/>
  <c r="M37" i="54"/>
  <c r="M56" i="54"/>
  <c r="M38" i="54"/>
  <c r="M57" i="54"/>
  <c r="G13" i="54"/>
  <c r="H13" i="54" s="1"/>
  <c r="G17" i="54"/>
  <c r="H17" i="54" s="1"/>
  <c r="G21" i="54"/>
  <c r="H21" i="54" s="1"/>
  <c r="G25" i="54"/>
  <c r="F36" i="54"/>
  <c r="F55" i="54"/>
  <c r="F37" i="54"/>
  <c r="F56" i="54"/>
  <c r="F38" i="54"/>
  <c r="F57" i="54"/>
  <c r="G36" i="54"/>
  <c r="G55" i="54"/>
  <c r="G37" i="54"/>
  <c r="G56" i="54"/>
  <c r="G38" i="54"/>
  <c r="G57" i="54"/>
  <c r="E36" i="54"/>
  <c r="E55" i="54"/>
  <c r="E37" i="54"/>
  <c r="E61" i="54" s="1"/>
  <c r="E69" i="54" s="1"/>
  <c r="E56" i="54"/>
  <c r="E38" i="54"/>
  <c r="E57" i="54"/>
  <c r="N36" i="53"/>
  <c r="N55" i="53"/>
  <c r="N37" i="53"/>
  <c r="N56" i="53"/>
  <c r="N38" i="53"/>
  <c r="N57" i="53"/>
  <c r="O36" i="53"/>
  <c r="O55" i="53"/>
  <c r="O37" i="53"/>
  <c r="O56" i="53"/>
  <c r="O38" i="53"/>
  <c r="O57" i="53"/>
  <c r="P56" i="53"/>
  <c r="P57" i="53"/>
  <c r="P62" i="53" s="1"/>
  <c r="M36" i="53"/>
  <c r="M55" i="53"/>
  <c r="M37" i="53"/>
  <c r="M56" i="53"/>
  <c r="M38" i="53"/>
  <c r="M57" i="53"/>
  <c r="G36" i="53"/>
  <c r="G60" i="53" s="1"/>
  <c r="G37" i="53"/>
  <c r="G56" i="53"/>
  <c r="G38" i="53"/>
  <c r="G57" i="53"/>
  <c r="F36" i="53"/>
  <c r="F55" i="53"/>
  <c r="E36" i="53"/>
  <c r="E55" i="53"/>
  <c r="F38" i="53"/>
  <c r="F57" i="53"/>
  <c r="E37" i="53"/>
  <c r="E56" i="53"/>
  <c r="N32" i="39"/>
  <c r="N31" i="39"/>
  <c r="N28" i="39"/>
  <c r="O29" i="54"/>
  <c r="N64" i="54"/>
  <c r="F64" i="54"/>
  <c r="F37" i="53"/>
  <c r="F56" i="53"/>
  <c r="F64" i="53"/>
  <c r="E38" i="53"/>
  <c r="E57" i="53"/>
  <c r="G46" i="54"/>
  <c r="G50" i="54"/>
  <c r="O46" i="54"/>
  <c r="O50" i="54"/>
  <c r="G64" i="53"/>
  <c r="E64" i="54"/>
  <c r="O25" i="54"/>
  <c r="O13" i="54"/>
  <c r="O50" i="53"/>
  <c r="O46" i="53"/>
  <c r="P46" i="53" s="1"/>
  <c r="G50" i="53"/>
  <c r="G46" i="53"/>
  <c r="H46" i="53" s="1"/>
  <c r="G25" i="53"/>
  <c r="H25" i="53" s="1"/>
  <c r="G17" i="53"/>
  <c r="O64" i="54"/>
  <c r="M64" i="54"/>
  <c r="G64" i="54"/>
  <c r="O42" i="54"/>
  <c r="G42" i="54"/>
  <c r="O21" i="54"/>
  <c r="O17" i="54"/>
  <c r="G42" i="53"/>
  <c r="O42" i="53"/>
  <c r="P42" i="53" s="1"/>
  <c r="O64" i="53"/>
  <c r="G21" i="53"/>
  <c r="H21" i="53" s="1"/>
  <c r="G13" i="53"/>
  <c r="O32" i="39"/>
  <c r="O31" i="39"/>
  <c r="O28" i="39"/>
  <c r="M32" i="39"/>
  <c r="M31" i="39"/>
  <c r="M28" i="39"/>
  <c r="M50" i="54"/>
  <c r="M46" i="54"/>
  <c r="M42" i="54"/>
  <c r="M25" i="54"/>
  <c r="M21" i="54"/>
  <c r="M17" i="54"/>
  <c r="M13" i="54"/>
  <c r="E50" i="54"/>
  <c r="E46" i="54"/>
  <c r="E42" i="54"/>
  <c r="E25" i="54"/>
  <c r="E21" i="54"/>
  <c r="E17" i="54"/>
  <c r="M64" i="53"/>
  <c r="M50" i="53"/>
  <c r="M46" i="53"/>
  <c r="M42" i="53"/>
  <c r="E64" i="53"/>
  <c r="E50" i="53"/>
  <c r="E46" i="53"/>
  <c r="E42" i="53"/>
  <c r="M29" i="53"/>
  <c r="M25" i="53"/>
  <c r="M21" i="53"/>
  <c r="M17" i="53"/>
  <c r="M13" i="53"/>
  <c r="E25" i="53"/>
  <c r="E21" i="53"/>
  <c r="E17" i="53"/>
  <c r="E13" i="53"/>
  <c r="E13" i="54"/>
  <c r="P21" i="54" l="1"/>
  <c r="P13" i="54"/>
  <c r="P42" i="54"/>
  <c r="P17" i="54"/>
  <c r="M61" i="54"/>
  <c r="M69" i="54" s="1"/>
  <c r="O62" i="54"/>
  <c r="P15" i="39"/>
  <c r="P55" i="53"/>
  <c r="P47" i="39"/>
  <c r="M57" i="39"/>
  <c r="N50" i="39"/>
  <c r="O25" i="39"/>
  <c r="O46" i="39"/>
  <c r="M46" i="39"/>
  <c r="M21" i="39"/>
  <c r="M50" i="39"/>
  <c r="H38" i="54"/>
  <c r="E17" i="39"/>
  <c r="M54" i="53"/>
  <c r="M13" i="39"/>
  <c r="E50" i="39"/>
  <c r="G50" i="39"/>
  <c r="M62" i="53"/>
  <c r="M70" i="53" s="1"/>
  <c r="E35" i="54"/>
  <c r="E38" i="39"/>
  <c r="M38" i="39"/>
  <c r="M55" i="39"/>
  <c r="O50" i="39"/>
  <c r="F46" i="39"/>
  <c r="E42" i="39"/>
  <c r="G35" i="54"/>
  <c r="G13" i="39"/>
  <c r="P33" i="39"/>
  <c r="H66" i="39"/>
  <c r="H47" i="39"/>
  <c r="E62" i="54"/>
  <c r="E70" i="54" s="1"/>
  <c r="F60" i="53"/>
  <c r="F68" i="53" s="1"/>
  <c r="F21" i="39"/>
  <c r="M25" i="39"/>
  <c r="F61" i="54"/>
  <c r="M17" i="39"/>
  <c r="E21" i="39"/>
  <c r="G17" i="39"/>
  <c r="E57" i="39"/>
  <c r="E12" i="54"/>
  <c r="G61" i="53"/>
  <c r="G69" i="53" s="1"/>
  <c r="G38" i="39"/>
  <c r="E46" i="39"/>
  <c r="G42" i="39"/>
  <c r="M61" i="53"/>
  <c r="M69" i="53" s="1"/>
  <c r="O62" i="53"/>
  <c r="O70" i="53" s="1"/>
  <c r="G61" i="54"/>
  <c r="G69" i="54" s="1"/>
  <c r="O54" i="54"/>
  <c r="G57" i="39"/>
  <c r="F17" i="39"/>
  <c r="G41" i="53"/>
  <c r="H41" i="53" s="1"/>
  <c r="P32" i="39"/>
  <c r="P23" i="39"/>
  <c r="P36" i="53"/>
  <c r="M41" i="53"/>
  <c r="E35" i="53"/>
  <c r="H36" i="54"/>
  <c r="M42" i="39"/>
  <c r="E41" i="54"/>
  <c r="M41" i="54"/>
  <c r="F54" i="53"/>
  <c r="G62" i="53"/>
  <c r="G70" i="53" s="1"/>
  <c r="G62" i="54"/>
  <c r="G70" i="54" s="1"/>
  <c r="F35" i="54"/>
  <c r="M35" i="54"/>
  <c r="O61" i="54"/>
  <c r="N60" i="54"/>
  <c r="O54" i="53"/>
  <c r="G12" i="54"/>
  <c r="H12" i="54" s="1"/>
  <c r="G56" i="39"/>
  <c r="G54" i="54"/>
  <c r="E62" i="53"/>
  <c r="E70" i="53" s="1"/>
  <c r="E54" i="53"/>
  <c r="M62" i="54"/>
  <c r="M70" i="54" s="1"/>
  <c r="N61" i="54"/>
  <c r="N69" i="54" s="1"/>
  <c r="P22" i="39"/>
  <c r="N42" i="39"/>
  <c r="G25" i="39"/>
  <c r="P31" i="39"/>
  <c r="N17" i="39"/>
  <c r="N61" i="53"/>
  <c r="N69" i="53" s="1"/>
  <c r="N35" i="53"/>
  <c r="H55" i="53"/>
  <c r="F25" i="39"/>
  <c r="H26" i="39"/>
  <c r="G37" i="39"/>
  <c r="M12" i="53"/>
  <c r="E55" i="39"/>
  <c r="F13" i="39"/>
  <c r="N54" i="54"/>
  <c r="P55" i="54"/>
  <c r="P43" i="39"/>
  <c r="P18" i="39"/>
  <c r="P14" i="39"/>
  <c r="H65" i="39"/>
  <c r="H22" i="39"/>
  <c r="F60" i="54"/>
  <c r="H14" i="39"/>
  <c r="O41" i="54"/>
  <c r="O42" i="39"/>
  <c r="G64" i="39"/>
  <c r="E13" i="39"/>
  <c r="M62" i="39"/>
  <c r="O38" i="39"/>
  <c r="M36" i="39"/>
  <c r="E56" i="39"/>
  <c r="E25" i="39"/>
  <c r="F64" i="39"/>
  <c r="O57" i="39"/>
  <c r="M56" i="39"/>
  <c r="M29" i="39"/>
  <c r="O56" i="39"/>
  <c r="N46" i="39"/>
  <c r="N29" i="39"/>
  <c r="N36" i="39"/>
  <c r="H64" i="53"/>
  <c r="G46" i="39"/>
  <c r="G21" i="39"/>
  <c r="G54" i="53"/>
  <c r="G12" i="53"/>
  <c r="H12" i="53" s="1"/>
  <c r="H13" i="53"/>
  <c r="G35" i="53"/>
  <c r="H36" i="53"/>
  <c r="P64" i="53"/>
  <c r="O64" i="39"/>
  <c r="P64" i="39" s="1"/>
  <c r="P66" i="39"/>
  <c r="O41" i="53"/>
  <c r="P41" i="53" s="1"/>
  <c r="O17" i="39"/>
  <c r="P19" i="39"/>
  <c r="O61" i="53"/>
  <c r="P37" i="53"/>
  <c r="H64" i="54"/>
  <c r="G36" i="39"/>
  <c r="O29" i="39"/>
  <c r="P30" i="39"/>
  <c r="O55" i="39"/>
  <c r="O60" i="54"/>
  <c r="P36" i="54"/>
  <c r="E31" i="55"/>
  <c r="F31" i="55" s="1"/>
  <c r="C31" i="55"/>
  <c r="M12" i="54"/>
  <c r="M60" i="54"/>
  <c r="M59" i="54" s="1"/>
  <c r="E60" i="54"/>
  <c r="M60" i="53"/>
  <c r="M68" i="53" s="1"/>
  <c r="E41" i="53"/>
  <c r="E64" i="39"/>
  <c r="E60" i="53"/>
  <c r="E68" i="53" s="1"/>
  <c r="E61" i="53"/>
  <c r="E69" i="53" s="1"/>
  <c r="E69" i="39" s="1"/>
  <c r="M37" i="39"/>
  <c r="M35" i="53"/>
  <c r="E37" i="39"/>
  <c r="E12" i="53"/>
  <c r="E36" i="39"/>
  <c r="O35" i="54"/>
  <c r="O12" i="54"/>
  <c r="G60" i="54"/>
  <c r="O21" i="39"/>
  <c r="O35" i="53"/>
  <c r="G55" i="39"/>
  <c r="G68" i="53"/>
  <c r="N55" i="39"/>
  <c r="N62" i="54"/>
  <c r="N70" i="54" s="1"/>
  <c r="N56" i="39"/>
  <c r="N35" i="54"/>
  <c r="N13" i="39"/>
  <c r="F50" i="39"/>
  <c r="F42" i="39"/>
  <c r="F57" i="39"/>
  <c r="F54" i="54"/>
  <c r="N21" i="39"/>
  <c r="N37" i="39"/>
  <c r="N25" i="39"/>
  <c r="N38" i="39"/>
  <c r="F62" i="54"/>
  <c r="F36" i="39"/>
  <c r="N62" i="53"/>
  <c r="N70" i="53" s="1"/>
  <c r="N60" i="53"/>
  <c r="N57" i="39"/>
  <c r="F62" i="53"/>
  <c r="F70" i="53" s="1"/>
  <c r="F55" i="39"/>
  <c r="F61" i="53"/>
  <c r="F69" i="53" s="1"/>
  <c r="F56" i="39"/>
  <c r="O13" i="39"/>
  <c r="O37" i="39"/>
  <c r="F37" i="39"/>
  <c r="F35" i="53"/>
  <c r="F38" i="39"/>
  <c r="O60" i="53"/>
  <c r="O36" i="39"/>
  <c r="G41" i="54"/>
  <c r="M54" i="54"/>
  <c r="E54" i="54"/>
  <c r="N54" i="53"/>
  <c r="E39" i="54" l="1"/>
  <c r="P12" i="54"/>
  <c r="P41" i="54"/>
  <c r="O70" i="54"/>
  <c r="O69" i="54"/>
  <c r="P46" i="39"/>
  <c r="G67" i="53"/>
  <c r="P55" i="39"/>
  <c r="E58" i="53"/>
  <c r="M41" i="39"/>
  <c r="H62" i="54"/>
  <c r="E62" i="39"/>
  <c r="E70" i="39" s="1"/>
  <c r="P54" i="53"/>
  <c r="H17" i="39"/>
  <c r="G58" i="53"/>
  <c r="H38" i="39"/>
  <c r="E41" i="39"/>
  <c r="M39" i="53"/>
  <c r="F39" i="53"/>
  <c r="H21" i="39"/>
  <c r="M54" i="39"/>
  <c r="M60" i="39"/>
  <c r="M68" i="39" s="1"/>
  <c r="E61" i="39"/>
  <c r="H46" i="39"/>
  <c r="G62" i="39"/>
  <c r="G70" i="39" s="1"/>
  <c r="F68" i="54"/>
  <c r="H60" i="54"/>
  <c r="G39" i="54"/>
  <c r="H35" i="54"/>
  <c r="H13" i="39"/>
  <c r="F39" i="54"/>
  <c r="M12" i="39"/>
  <c r="P35" i="53"/>
  <c r="G41" i="39"/>
  <c r="P17" i="39"/>
  <c r="E54" i="39"/>
  <c r="O62" i="39"/>
  <c r="N12" i="39"/>
  <c r="M67" i="53"/>
  <c r="O59" i="54"/>
  <c r="N59" i="54"/>
  <c r="H54" i="53"/>
  <c r="G61" i="39"/>
  <c r="G69" i="39" s="1"/>
  <c r="G58" i="54"/>
  <c r="O39" i="53"/>
  <c r="F41" i="39"/>
  <c r="F58" i="53"/>
  <c r="F12" i="39"/>
  <c r="M59" i="53"/>
  <c r="E12" i="39"/>
  <c r="N41" i="39"/>
  <c r="P42" i="39"/>
  <c r="G12" i="39"/>
  <c r="G59" i="53"/>
  <c r="N68" i="54"/>
  <c r="N67" i="54" s="1"/>
  <c r="P54" i="54"/>
  <c r="F58" i="54"/>
  <c r="M35" i="39"/>
  <c r="H25" i="39"/>
  <c r="F59" i="53"/>
  <c r="F35" i="39"/>
  <c r="N35" i="39"/>
  <c r="O54" i="39"/>
  <c r="P29" i="39"/>
  <c r="O41" i="39"/>
  <c r="F67" i="53"/>
  <c r="H60" i="53"/>
  <c r="H35" i="53"/>
  <c r="N60" i="39"/>
  <c r="N68" i="39" s="1"/>
  <c r="P13" i="39"/>
  <c r="H64" i="39"/>
  <c r="P21" i="39"/>
  <c r="O68" i="53"/>
  <c r="P60" i="53"/>
  <c r="O69" i="53"/>
  <c r="P69" i="53" s="1"/>
  <c r="P61" i="53"/>
  <c r="O61" i="39"/>
  <c r="P37" i="39"/>
  <c r="G54" i="39"/>
  <c r="H55" i="39"/>
  <c r="G35" i="39"/>
  <c r="H36" i="39"/>
  <c r="O35" i="39"/>
  <c r="P36" i="39"/>
  <c r="O68" i="54"/>
  <c r="P60" i="54"/>
  <c r="O12" i="39"/>
  <c r="P35" i="54"/>
  <c r="M68" i="54"/>
  <c r="M67" i="54" s="1"/>
  <c r="E68" i="54"/>
  <c r="E59" i="54"/>
  <c r="E63" i="54" s="1"/>
  <c r="E67" i="53"/>
  <c r="E59" i="53"/>
  <c r="M61" i="39"/>
  <c r="M69" i="39" s="1"/>
  <c r="E60" i="39"/>
  <c r="E35" i="39"/>
  <c r="G59" i="54"/>
  <c r="G68" i="54"/>
  <c r="G60" i="39"/>
  <c r="F58" i="39"/>
  <c r="N54" i="39"/>
  <c r="N61" i="39"/>
  <c r="N69" i="39" s="1"/>
  <c r="F54" i="39"/>
  <c r="F62" i="39"/>
  <c r="F70" i="54"/>
  <c r="H70" i="54" s="1"/>
  <c r="F59" i="54"/>
  <c r="N68" i="53"/>
  <c r="N59" i="53"/>
  <c r="N62" i="39"/>
  <c r="F61" i="39"/>
  <c r="F69" i="39" s="1"/>
  <c r="F60" i="39"/>
  <c r="F68" i="39" s="1"/>
  <c r="O59" i="53"/>
  <c r="O60" i="39"/>
  <c r="M39" i="39" l="1"/>
  <c r="G39" i="39"/>
  <c r="O67" i="54"/>
  <c r="P54" i="39"/>
  <c r="O67" i="53"/>
  <c r="E58" i="39"/>
  <c r="H62" i="39"/>
  <c r="G58" i="39"/>
  <c r="F63" i="53"/>
  <c r="M67" i="39"/>
  <c r="G68" i="39"/>
  <c r="G67" i="39" s="1"/>
  <c r="H60" i="39"/>
  <c r="F70" i="39"/>
  <c r="P12" i="39"/>
  <c r="P59" i="54"/>
  <c r="H41" i="39"/>
  <c r="F63" i="54"/>
  <c r="F67" i="54"/>
  <c r="M63" i="53"/>
  <c r="P41" i="39"/>
  <c r="H12" i="39"/>
  <c r="F39" i="39"/>
  <c r="E67" i="54"/>
  <c r="E68" i="39"/>
  <c r="E67" i="39" s="1"/>
  <c r="N67" i="39"/>
  <c r="P60" i="39"/>
  <c r="N59" i="39"/>
  <c r="P59" i="53"/>
  <c r="H59" i="53"/>
  <c r="H35" i="39"/>
  <c r="H54" i="39"/>
  <c r="H67" i="53"/>
  <c r="H68" i="53"/>
  <c r="O69" i="39"/>
  <c r="P61" i="39"/>
  <c r="N67" i="53"/>
  <c r="P68" i="53"/>
  <c r="G63" i="54"/>
  <c r="H59" i="54"/>
  <c r="G67" i="54"/>
  <c r="H68" i="54"/>
  <c r="P67" i="54"/>
  <c r="P68" i="54"/>
  <c r="P35" i="39"/>
  <c r="M59" i="39"/>
  <c r="E59" i="39"/>
  <c r="G59" i="39"/>
  <c r="O63" i="53"/>
  <c r="F59" i="39"/>
  <c r="O68" i="39"/>
  <c r="O59" i="39"/>
  <c r="P69" i="39" l="1"/>
  <c r="E63" i="39"/>
  <c r="H67" i="54"/>
  <c r="G63" i="39"/>
  <c r="F67" i="39"/>
  <c r="H67" i="39" s="1"/>
  <c r="H70" i="39"/>
  <c r="F63" i="39"/>
  <c r="P67" i="53"/>
  <c r="H59" i="39"/>
  <c r="H68" i="39"/>
  <c r="P59" i="39"/>
  <c r="O67" i="39"/>
  <c r="P68" i="39"/>
  <c r="P67" i="39" l="1"/>
</calcChain>
</file>

<file path=xl/sharedStrings.xml><?xml version="1.0" encoding="utf-8"?>
<sst xmlns="http://schemas.openxmlformats.org/spreadsheetml/2006/main" count="1886" uniqueCount="345">
  <si>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</si>
  <si>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</si>
  <si>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</si>
  <si>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</si>
  <si>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</si>
  <si>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</si>
  <si>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</si>
  <si>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</si>
  <si>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</si>
  <si>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</si>
  <si>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</si>
  <si>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</si>
  <si>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</si>
  <si>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</si>
  <si>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</si>
  <si>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</si>
  <si>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</si>
  <si>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</si>
  <si>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</si>
  <si>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</si>
  <si>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</si>
  <si>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</si>
  <si>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</si>
  <si>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</si>
  <si>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</si>
  <si>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</si>
  <si>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</si>
  <si>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6.</t>
  </si>
  <si>
    <t>Önkormányzat bevételei mindösszesen</t>
  </si>
  <si>
    <t>Önkormányzat kiadásai mindösszesen</t>
  </si>
  <si>
    <t xml:space="preserve"> összevont költségvetési mérleg</t>
  </si>
  <si>
    <t>Dologi kiadások</t>
  </si>
  <si>
    <t>Működési bevételek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</si>
  <si>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</si>
  <si>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</si>
  <si>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</si>
  <si>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</si>
  <si>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</si>
  <si>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</si>
  <si>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</si>
  <si>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</si>
  <si>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</si>
  <si>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</si>
  <si>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</si>
  <si>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</si>
  <si>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</si>
  <si>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</si>
  <si>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</si>
  <si>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</si>
  <si>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</si>
  <si>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</si>
  <si>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</si>
  <si>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</si>
  <si>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</si>
  <si>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</si>
  <si>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</si>
  <si>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</si>
  <si>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</si>
  <si>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</si>
  <si>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</si>
  <si>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</si>
  <si>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</si>
  <si>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</si>
  <si>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</si>
  <si>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</si>
  <si>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</si>
  <si>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</si>
  <si>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</si>
  <si>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</si>
  <si>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</si>
  <si>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</si>
  <si>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</si>
  <si>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</si>
  <si>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</si>
  <si>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</si>
  <si>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</si>
  <si>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</si>
  <si>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</si>
  <si>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</si>
  <si>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</si>
  <si>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</si>
  <si>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7.</t>
  </si>
  <si>
    <t>8.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</si>
  <si>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</si>
  <si>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</si>
  <si>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</si>
  <si>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</si>
  <si>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</si>
  <si>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</si>
  <si>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</si>
  <si>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</si>
  <si>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</si>
  <si>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</si>
  <si>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9.</t>
  </si>
  <si>
    <t>beruházások, felújítások kiadásai beruházásonként</t>
  </si>
  <si>
    <t>F   e  l  a  d  a t</t>
  </si>
  <si>
    <t>Pályázat</t>
  </si>
  <si>
    <t>Bevétel</t>
  </si>
  <si>
    <t>Kiadás</t>
  </si>
  <si>
    <t>Önerő</t>
  </si>
  <si>
    <t>Címe</t>
  </si>
  <si>
    <t>Azonosító</t>
  </si>
  <si>
    <t>Működési</t>
  </si>
  <si>
    <t>Felhal-mozási</t>
  </si>
  <si>
    <t>Maradvány igénybevétel</t>
  </si>
  <si>
    <t>Összesen</t>
  </si>
  <si>
    <t xml:space="preserve">Működési </t>
  </si>
  <si>
    <t>EU-s forrásból</t>
  </si>
  <si>
    <t>Kiemelt előirányzat</t>
  </si>
  <si>
    <t>Mindösszesen</t>
  </si>
  <si>
    <t>Felhalmozási kiadások mindösszesen</t>
  </si>
  <si>
    <t>Foglalkoztatási Paktum</t>
  </si>
  <si>
    <t>Teljesítés %</t>
  </si>
  <si>
    <t>önként vállalt feladatai</t>
  </si>
  <si>
    <t>Feladat megnevezése</t>
  </si>
  <si>
    <t>Teljesítés %-a</t>
  </si>
  <si>
    <t>Jogi, Ügyrendi és Társadalmi Kapcsolatok Bizottsága hatáskörében felhasználható keret</t>
  </si>
  <si>
    <t>Megyei Önkormányzatok Országos Szövetsége tagdíj</t>
  </si>
  <si>
    <t>Önként vállalt feladatok összesen</t>
  </si>
  <si>
    <t>Kötelező feladat</t>
  </si>
  <si>
    <t>Kötelező feladat összesen</t>
  </si>
  <si>
    <t>Önként vállalt feladat</t>
  </si>
  <si>
    <t>Sor-szám</t>
  </si>
  <si>
    <t>Tisza-Tó Térségi Fejlesztési Tanács tagdíj</t>
  </si>
  <si>
    <t>Működési célú támogatások államháztartáson belülre</t>
  </si>
  <si>
    <t>Működési célú támogatások államháztartáson belülre kötelező feladatra összesen</t>
  </si>
  <si>
    <t>Működési célú támogatások államháztartáson kívülre</t>
  </si>
  <si>
    <t>Elnöki hatáskörben felhasználható keret kiemelt közoktatási, kulturális, közművelődési és sportfeladatokra</t>
  </si>
  <si>
    <t>10.</t>
  </si>
  <si>
    <t>11.</t>
  </si>
  <si>
    <t>Működési célú támogatások államháztartáson kívülre önként vállalt feladatra összesen</t>
  </si>
  <si>
    <t>Kötelező és önként vállalt feladat összesen</t>
  </si>
  <si>
    <t>Elismerésekkel, kitüntetésekkel járó pénzjutalom</t>
  </si>
  <si>
    <t>12.</t>
  </si>
  <si>
    <t>Bevételek - EU-s forrás</t>
  </si>
  <si>
    <t>Költségvetés</t>
  </si>
  <si>
    <t>Maradvány</t>
  </si>
  <si>
    <t>Önkormányzat</t>
  </si>
  <si>
    <t>Hivatal</t>
  </si>
  <si>
    <t>Kiadások</t>
  </si>
  <si>
    <t>Személyi</t>
  </si>
  <si>
    <t>Járulék</t>
  </si>
  <si>
    <t>Dologi</t>
  </si>
  <si>
    <t>Beruházás</t>
  </si>
  <si>
    <t>maradvány megállapítása és igénybevétele</t>
  </si>
  <si>
    <t>Magyar Szürkék Útja</t>
  </si>
  <si>
    <t>Támogatás, tartalék</t>
  </si>
  <si>
    <t>Önkormányzati Hivatal bevételei mindösszesen</t>
  </si>
  <si>
    <t>Önkormányzati Hivatal kiadásai mindösszesen</t>
  </si>
  <si>
    <t>13.</t>
  </si>
  <si>
    <t>európai uniós forrásból finanszírozott támogatással megvalósuló projektek bevételei és kiadásai</t>
  </si>
  <si>
    <t>TOP-5.1.1-15-HB1-2016-00001</t>
  </si>
  <si>
    <t>TOP-1.2.1-15-HB1-2016-00020</t>
  </si>
  <si>
    <t>14.</t>
  </si>
  <si>
    <t>15.</t>
  </si>
  <si>
    <t>16.</t>
  </si>
  <si>
    <t>17.</t>
  </si>
  <si>
    <t>18.</t>
  </si>
  <si>
    <t>európai uniós forrásból finanszírozott támogatással megvalósuló projektek bevételei - részletes költségvetés</t>
  </si>
  <si>
    <t>Intenzitás</t>
  </si>
  <si>
    <t>európai uniós forrásból finanszírozott támogatással megvalósuló projektek kiadásai - részletes költségvetés</t>
  </si>
  <si>
    <t>működési célú támogatások államháztartáson belülre és kívülre</t>
  </si>
  <si>
    <t>RENATUR</t>
  </si>
  <si>
    <t>PGI05798</t>
  </si>
  <si>
    <t>SinCE-AFC</t>
  </si>
  <si>
    <t>PGI05967</t>
  </si>
  <si>
    <t>Hajdú hagyományok nyomában</t>
  </si>
  <si>
    <t>TOP-5.3.2-17-HB1-2018-00001</t>
  </si>
  <si>
    <t>19.</t>
  </si>
  <si>
    <t>20.</t>
  </si>
  <si>
    <t>21.</t>
  </si>
  <si>
    <t>22.</t>
  </si>
  <si>
    <t>23.</t>
  </si>
  <si>
    <t>EFOP - Hajdúböszörmény</t>
  </si>
  <si>
    <t>EFOP-1.5.3-16-2017-00014</t>
  </si>
  <si>
    <t>24.</t>
  </si>
  <si>
    <t>EFOP - Püspökladány</t>
  </si>
  <si>
    <t>EFOP-1.5.3-16-2017-00017</t>
  </si>
  <si>
    <t>25.</t>
  </si>
  <si>
    <t>EFOP - Hajdúnánás</t>
  </si>
  <si>
    <t>EFOP-1.5.3-16-2017-00021</t>
  </si>
  <si>
    <t>EFOP - Csökmő</t>
  </si>
  <si>
    <t>EFOP-1.5.3-16-2017-00023</t>
  </si>
  <si>
    <t>EFOP - Esztár</t>
  </si>
  <si>
    <t>EFOP-1.5.3-16-2017-00058</t>
  </si>
  <si>
    <t>Magyar Szürkék Útja pályázat műszaki ellenőri költség</t>
  </si>
  <si>
    <t>EFOP-Berettyóújfalu</t>
  </si>
  <si>
    <t>EFOP-1.5.3-16-2017-00057</t>
  </si>
  <si>
    <t>Működési támogatás</t>
  </si>
  <si>
    <t>Felhalm. támogatás</t>
  </si>
  <si>
    <t>B1 rovat</t>
  </si>
  <si>
    <t>B6 rovat</t>
  </si>
  <si>
    <t xml:space="preserve">Maradvány </t>
  </si>
  <si>
    <t>Összege</t>
  </si>
  <si>
    <t>Felhasználása (igénybevétele)</t>
  </si>
  <si>
    <t xml:space="preserve"> Maradvány felhasználása mindösszesen</t>
  </si>
  <si>
    <t>Finansz. kiadás</t>
  </si>
  <si>
    <t>36.</t>
  </si>
  <si>
    <t>37.</t>
  </si>
  <si>
    <t>Általános tartalék képzése</t>
  </si>
  <si>
    <t>Céltartalék képzése devizaárfolyam változásából eredő kockázatok fedezetére</t>
  </si>
  <si>
    <t>(Ft)</t>
  </si>
  <si>
    <t>Hajdú-Bihar Megyei Vásárszövetség tagdíj</t>
  </si>
  <si>
    <t>Teljesí- tés %</t>
  </si>
  <si>
    <t>Felhalmozási célú támogatások államházt. belülről</t>
  </si>
  <si>
    <t>Működési célú támogatások államháztart. belülről</t>
  </si>
  <si>
    <t>Működési célú támogatások államházt. belülről</t>
  </si>
  <si>
    <t>Europe Direct Hajdú-Bihar</t>
  </si>
  <si>
    <t>2021-27 tervezés előkészítése</t>
  </si>
  <si>
    <t>TOP-1.5.1-20-2020-00013</t>
  </si>
  <si>
    <t>Elnöki hatáskörben felhasználható keret kiemelt közoktatási, kulturális, közművelődési és sportfeladatokra önként vállalt feladat</t>
  </si>
  <si>
    <t>Elismerésekkel, kitüntetésekkel járó pénzjutalom önként vállalt feladatra</t>
  </si>
  <si>
    <t>Kis- és nagyértékű tárgyi eszközök, informatikai eszközök, irodai bútorok beszerzése</t>
  </si>
  <si>
    <t>2022. évi teljesítés</t>
  </si>
  <si>
    <t>Kis- és nagyértékű tárgyi eszközök, informatikai eszközök, irodabútorok beszerzése</t>
  </si>
  <si>
    <t>Hajdúböszörmény - Hajdúvid - Hajdúdorog kerékpárút engedélyes és kiviteli terve</t>
  </si>
  <si>
    <t>Foglalkoztatási Paktum Plusz pályázat eszközbeszerzés (tárgyi, informatikai eszközök, immateriális javak)</t>
  </si>
  <si>
    <t>Együtt, közösségben Hajdú-Biharban pályázat eszközbeszerzés</t>
  </si>
  <si>
    <t>Europe Direct pályázat eszközbeszerzés</t>
  </si>
  <si>
    <t>Pénzügyminisztérium - OUR WAY pályázat megelőlegezési támogatásának visszautalása</t>
  </si>
  <si>
    <t>Pénzügyminisztérium - OUR WAY pályázat fel nem használt hazai társfinanszírozási támogatásának visszautalása</t>
  </si>
  <si>
    <t>Pénzügyminisztérium - DelFin pályázat megelőlegezési támogatásának visszautalása</t>
  </si>
  <si>
    <t>Pénzügyminisztérium - DelFin pályázat fel nem használt hazai társfinanszírozási támogatásának visszautalása</t>
  </si>
  <si>
    <t>Pénzügyminisztérium - Healing Places pályázat megelőlegezési támogatásának visszautalása</t>
  </si>
  <si>
    <t>Pénzügyminisztérium - Healing Places pályázat fel nem használt hazai társfinanszírozási támogatásának visszautalása</t>
  </si>
  <si>
    <t>Miniszterelnökség - EFOP-1.5.3 Csökmő pályázat támogatási előleg visszautalása támogatás átadása miatt (Csökmő)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</si>
  <si>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</si>
  <si>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</si>
  <si>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</si>
  <si>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</si>
  <si>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</si>
  <si>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Foglalkoztatási Pakum Plusz pályázat megvalósítása</t>
  </si>
  <si>
    <t>Együtt, közösségben Hajdú-Biharban pályázat megvalósítása</t>
  </si>
  <si>
    <t>Hivatali apparátus személyi ösztönzésére</t>
  </si>
  <si>
    <t>Kis- és nagyértékű tárgyi eszközök, informatikai és egyéb eszközök, irodai bútorok beszerzése</t>
  </si>
  <si>
    <t>Céltartalék képzése nemzetközi pályázatok  következő években felmerülő kiadások önerő fedezetére</t>
  </si>
  <si>
    <t>Céltartalék képzése humánerőforrás biztosítás fedezetére</t>
  </si>
  <si>
    <t>Személygépjármű beszerzés (2 db)</t>
  </si>
  <si>
    <t>Hajdú-Bihar Vármegye Önkormányzata</t>
  </si>
  <si>
    <t>Hajdú-Bihar Vármegyei Önkormányzati Hivatal</t>
  </si>
  <si>
    <t>Hajdú-Bihar Vármegye Önkormányzata európai uniós projektjei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</si>
  <si>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</si>
  <si>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</si>
  <si>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</si>
  <si>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Hajdú-Bihar Vármegye Önkormányzata felhalmozási kiadások</t>
  </si>
  <si>
    <t>Hajdú-Bihar Vármegye Önkormányzata felhalmozási kiadások összesen</t>
  </si>
  <si>
    <t>Hajdú-Bihar Vármegyei Önkormányzati Hivatal felhalmozási kiadások</t>
  </si>
  <si>
    <t>Hajdú-Bihar Vármegyei Önkormányzati Hivatal felhalmozási kiadások összesen</t>
  </si>
  <si>
    <t xml:space="preserve">Hajdú-Bihar Vármegye Önkormányzata és a Hajdú-Bihar Vármegyei Önkormányzati Hivatal </t>
  </si>
  <si>
    <t>Hajdú-Bihar Vármegye Önkormányzata maradvány jóváhagyása</t>
  </si>
  <si>
    <t>HBVM Önkormányzata maradvány felhasználása összesen</t>
  </si>
  <si>
    <t>HBVM-i Önkormányzati Hivatal maradvány felhasználása összesen</t>
  </si>
  <si>
    <t>Hajdú-Bihar Vármegyei Önkormányzati Hivatal maradvány jóváhagyása</t>
  </si>
  <si>
    <t>Hajdú-Bihar Vármegye Cigány Területi Nemzetiségi Önkormányzata támogatása</t>
  </si>
  <si>
    <t>Hajdú-Bihar Vármegye Román Területi Nemzetiségi Önkormányzata támogatása</t>
  </si>
  <si>
    <t>1. melléklet a …/2024. (…) önkormányzati rendelethez</t>
  </si>
  <si>
    <t>2. melléklet a …/2024. (…) önkormányzati rendelethez</t>
  </si>
  <si>
    <t>2023. évi zárszámadás</t>
  </si>
  <si>
    <t>3. melléklet a …/2024. (…) önkormányzati rendelethez</t>
  </si>
  <si>
    <t>4. melléklet a .../2024. (...) önkormányzati rendelethez</t>
  </si>
  <si>
    <t>5. melléklet a .../2024. (...) önkormányzati rendelethez</t>
  </si>
  <si>
    <t>6. melléklet a .../2024. (...) önkormányzati rendelethez</t>
  </si>
  <si>
    <t>7. melléklet a …/2024. (…) önkormányzati rendelethez</t>
  </si>
  <si>
    <t>8. melléklet a …/2024. (…) önkormányzati rendelethez</t>
  </si>
  <si>
    <t>9. melléklet a …/2024. (…) önkormányzati rendelethez</t>
  </si>
  <si>
    <t>10. melléklet a …/2024. (…) önkormányzati rendelethez</t>
  </si>
  <si>
    <t>2023. évi módosított előirányzat</t>
  </si>
  <si>
    <t>2023. évi teljesítés</t>
  </si>
  <si>
    <t>2023. évi eredeti előirányzat</t>
  </si>
  <si>
    <t>Vármegye Napja rendezvény</t>
  </si>
  <si>
    <t>Pénzügyminisztérium - SinCE-AFC pályázat megelőlegezési támogatásának visszautalása</t>
  </si>
  <si>
    <t>Pénzügyminisztérium - SinCE-AFC pályázat fel nem használt hazai társfinanszírozási támogatásának visszautalása</t>
  </si>
  <si>
    <t>Pénzügyminisztérium - RENATUR pályázat megelőlegezési támogatásának visszautalása</t>
  </si>
  <si>
    <t>Pénzügyminisztérium - RENATUR pályázat fel nem használt hazai társfinanszírozási támogatásának visszautalása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</si>
  <si>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</si>
  <si>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</si>
  <si>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Miniszterelnökség - EFOP-1.5.3 Esztár pályázat fel nem használt támogatás visszautalása</t>
  </si>
  <si>
    <t>Miniszterelnökség - EFOP-1.5.3 Berettyóújfalu pályázat fel nem használt támogatás visszautalása</t>
  </si>
  <si>
    <t>Miniszterelnökség - EFOP-1.5.3 Püspökladány pályázat fel nem használt támogatás visszautalása</t>
  </si>
  <si>
    <t>Miniszterelnökség - EFOP-1.5.3 Biharkeresztes pályázat fel nem használt támogatás visszautalása</t>
  </si>
  <si>
    <t>Miniszterelnökség - EFOP-1.5.3 Kaba pályázat fel nem használt támogatás visszautalása</t>
  </si>
  <si>
    <t>Aktív- és Ökoturisztikai Fejlesztési Központ NKft. - "A térségi jelentőségű kerékpárutak tervezése - Hajdú-Bihar Megye" pályázat fel nem használt támogatás visszautalása</t>
  </si>
  <si>
    <t>Bethlen Gábor Alapkezelő - "Nemzetköziesedés - Hajdú-Bihar és Hargita megye önkormányzatai együttműködési területeinek bővítése" pályázat fel nem használt támogatás visszautalása</t>
  </si>
  <si>
    <t>Magyar Szürkék Útja pályázat eszközbeszerzés (rendezvénytechnikai eszköz)</t>
  </si>
  <si>
    <t xml:space="preserve">Hajdú hagyományok nyomában pályázat eszközbeszerzés </t>
  </si>
  <si>
    <t>Együtt, közösségben Hajdú-Biharban pályázat Hajdú-Bihar vármegyei értékeket bemutató kiadvány kézirata</t>
  </si>
  <si>
    <t xml:space="preserve">Hajdúböszörmény - Debrecen (Józsa) kerékpárút engedélyes terve </t>
  </si>
  <si>
    <t>2021-27 tervezés előkészítése pályázat  környezeti hatástanulmányok készítése</t>
  </si>
  <si>
    <t>2021-27 tervezés előkészítése pályázat eszközbeszerzés</t>
  </si>
  <si>
    <t>2021-27 tervezés előkészítése pályázat Piac 71. energetika és belső átalakítás tervezési díj</t>
  </si>
  <si>
    <t>EXPRESS pályázat eszközbeszerzés</t>
  </si>
  <si>
    <t>More than a village pályázat eszközbeszerzés</t>
  </si>
  <si>
    <t>2021-27 tervezés előkészítése pályázat eszközbeszerzés (mobiltelefonok)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</si>
  <si>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</si>
  <si>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</si>
  <si>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</si>
  <si>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</si>
  <si>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</si>
  <si>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</si>
  <si>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</si>
  <si>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</si>
  <si>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</si>
  <si>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</si>
  <si>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A maradvány előirányzatosítása a 2024. évi költségvetés kiemelt előirányzataira</t>
  </si>
  <si>
    <t>2024.évi költségvetés már tartalmazza</t>
  </si>
  <si>
    <t>Foglalkoztatási Paktum pályázat fel nem használt támogatás visszautalása</t>
  </si>
  <si>
    <t>EXPRESS pályázat megvalósítása</t>
  </si>
  <si>
    <t>GOCORE pályázat megvalósítása</t>
  </si>
  <si>
    <t>WEEEWaste pályázat megvalósítása</t>
  </si>
  <si>
    <t>Hajdú hagyományok nyomában pályázat megvalósítása, fel nem használt támogatás visszautalása</t>
  </si>
  <si>
    <t>Magyar Szürkék Útja pályázat megvalósítása, fel nem használt támogatás visszautalása</t>
  </si>
  <si>
    <t>EFOP-1.5.3. - Hajdúböszörmény pályázat fel nem használt támogatás visszautalása</t>
  </si>
  <si>
    <t>EFOP-1.5.3. - Csökmő pályázat fel nem használt támogatás visszautalása</t>
  </si>
  <si>
    <t>EFOP-1.5.3. - Balmazújváros pályázat fel nem használt támogatás visszautalása</t>
  </si>
  <si>
    <t>Agrárminisztérium - "Vármegye kóstolgató" című pályázat megvalósítása</t>
  </si>
  <si>
    <t>Agrárminisztérium - "Értékes Hajdú-Bihar - Vármegyénk kincsei" című pályázat megvalósítása</t>
  </si>
  <si>
    <t>Belügyminisztárium - Hajdú-Bihar Vármegyei Kábítószerügyi Egyeztető Fórumok működésének ösztönzése megvalósítása</t>
  </si>
  <si>
    <t>Megelőlegezési támogatás (2024.0.havi állami támogatás) visszfizetése</t>
  </si>
  <si>
    <t>2023. évi tanyagondnoki képzés 2024. évre áthúzódó kiadásának fedezetére</t>
  </si>
  <si>
    <t>Nemzetközi pályázatok 2024.évi önerő fedezetére</t>
  </si>
  <si>
    <t>Megyei Önkormányzatok Országos Szövetsége 2023. évi tagdíj</t>
  </si>
  <si>
    <t>Tisza-tó Térségi Fejlesztési Tanács 2023. évi tagdíj</t>
  </si>
  <si>
    <t>Hajdú-Bihar Megyei Vásárszövetség 2023. évi tagdíj</t>
  </si>
  <si>
    <t>Cikluszáró és egyéb kiadvány készítése</t>
  </si>
  <si>
    <t>Humánerőforrás biztosítása, fejlesztése</t>
  </si>
  <si>
    <t>2024. évben felmerülő jubileumi jutalom finanszírozása</t>
  </si>
  <si>
    <t>2024. évi működési költségek finanszírozása</t>
  </si>
  <si>
    <t>Céltartalék képzése új (benyújtás előtt, vagy elbírálás alatt lévő) pályázatok 2024. évi önerő fedezetére</t>
  </si>
  <si>
    <t>Közgyűlési tagok részére laptop beszerzés</t>
  </si>
  <si>
    <t>Céltartalék képzése nemzetközi pályázatok (EXPRESS, GOCORE, WEEEWaste) megelőlegezési támogatásának visszafizetésére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</si>
  <si>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</si>
  <si>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</si>
  <si>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</si>
  <si>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</si>
  <si>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</si>
  <si>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</si>
  <si>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</si>
  <si>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</si>
  <si>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</si>
  <si>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</si>
  <si>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Piac 71. energetika és belső átalakítás tervezési díja (saját forrás)</t>
  </si>
  <si>
    <t>2023. évi szállítói kötelezettségek és a 2024. évi működési kiadások teljesítésére, személyi ösztönzésre</t>
  </si>
  <si>
    <t>Személygépjármű beszerzés (1 db)</t>
  </si>
  <si>
    <t>38.</t>
  </si>
  <si>
    <t>Beruházás,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</si>
</sst>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"/>
      <family val="1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0.5"/>
      <name val="Times New Roman"/>
      <family val="1"/>
      <charset val="238"/>
    </font>
    <font>
      <sz val="11.5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1" fillId="0" borderId="0"/>
    <xf numFmtId="0" fontId="11" fillId="0" borderId="0"/>
  </cellStyleXfs>
  <cellXfs count="80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4" fillId="0" borderId="0" xfId="0" applyFont="1"/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10" fillId="2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3" fontId="12" fillId="2" borderId="4" xfId="0" applyNumberFormat="1" applyFont="1" applyFill="1" applyBorder="1" applyAlignment="1">
      <alignment horizontal="right" vertical="center" wrapText="1" indent="1"/>
    </xf>
    <xf numFmtId="3" fontId="12" fillId="2" borderId="15" xfId="0" applyNumberFormat="1" applyFont="1" applyFill="1" applyBorder="1" applyAlignment="1">
      <alignment horizontal="right" vertical="center" wrapText="1" indent="1"/>
    </xf>
    <xf numFmtId="3" fontId="18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6" fillId="0" borderId="0" xfId="0" applyNumberFormat="1" applyFont="1"/>
    <xf numFmtId="0" fontId="5" fillId="0" borderId="13" xfId="7" applyFont="1" applyBorder="1" applyAlignment="1">
      <alignment horizontal="center" vertical="center"/>
    </xf>
    <xf numFmtId="0" fontId="5" fillId="0" borderId="4" xfId="7" applyFont="1" applyBorder="1" applyAlignment="1">
      <alignment horizontal="center" vertical="center"/>
    </xf>
    <xf numFmtId="164" fontId="5" fillId="0" borderId="4" xfId="7" applyNumberFormat="1" applyFont="1" applyBorder="1" applyAlignment="1">
      <alignment horizontal="center" vertical="center"/>
    </xf>
    <xf numFmtId="0" fontId="5" fillId="3" borderId="4" xfId="7" applyFont="1" applyFill="1" applyBorder="1" applyAlignment="1">
      <alignment vertical="center" wrapText="1"/>
    </xf>
    <xf numFmtId="16" fontId="5" fillId="3" borderId="13" xfId="7" applyNumberFormat="1" applyFont="1" applyFill="1" applyBorder="1" applyAlignment="1">
      <alignment horizontal="center" vertical="center"/>
    </xf>
    <xf numFmtId="0" fontId="20" fillId="0" borderId="0" xfId="0" applyFont="1"/>
    <xf numFmtId="0" fontId="5" fillId="0" borderId="27" xfId="7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0" fontId="5" fillId="0" borderId="0" xfId="2" applyFont="1"/>
    <xf numFmtId="0" fontId="6" fillId="0" borderId="0" xfId="2" applyFont="1"/>
    <xf numFmtId="0" fontId="4" fillId="0" borderId="0" xfId="2" applyFont="1"/>
    <xf numFmtId="3" fontId="5" fillId="0" borderId="0" xfId="2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1" fillId="0" borderId="0" xfId="2"/>
    <xf numFmtId="0" fontId="4" fillId="0" borderId="0" xfId="2" applyFont="1" applyAlignment="1">
      <alignment horizontal="centerContinuous" shrinkToFit="1"/>
    </xf>
    <xf numFmtId="3" fontId="4" fillId="0" borderId="0" xfId="2" applyNumberFormat="1" applyFont="1" applyAlignment="1">
      <alignment horizontal="right"/>
    </xf>
    <xf numFmtId="0" fontId="29" fillId="5" borderId="0" xfId="2" applyFont="1" applyFill="1" applyAlignment="1">
      <alignment horizontal="center"/>
    </xf>
    <xf numFmtId="0" fontId="4" fillId="5" borderId="0" xfId="2" applyFont="1" applyFill="1" applyAlignment="1">
      <alignment vertical="center" shrinkToFit="1"/>
    </xf>
    <xf numFmtId="3" fontId="4" fillId="5" borderId="0" xfId="2" applyNumberFormat="1" applyFont="1" applyFill="1" applyAlignment="1">
      <alignment vertical="center"/>
    </xf>
    <xf numFmtId="0" fontId="5" fillId="0" borderId="0" xfId="2" applyFont="1" applyAlignment="1">
      <alignment shrinkToFi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165" fontId="5" fillId="3" borderId="7" xfId="0" applyNumberFormat="1" applyFont="1" applyFill="1" applyBorder="1" applyAlignment="1">
      <alignment horizontal="right" vertical="center" indent="1"/>
    </xf>
    <xf numFmtId="3" fontId="6" fillId="0" borderId="0" xfId="2" applyNumberFormat="1" applyFont="1"/>
    <xf numFmtId="167" fontId="6" fillId="0" borderId="0" xfId="2" applyNumberFormat="1" applyFont="1"/>
    <xf numFmtId="0" fontId="5" fillId="3" borderId="4" xfId="7" applyFont="1" applyFill="1" applyBorder="1" applyAlignment="1">
      <alignment horizontal="center" vertical="center"/>
    </xf>
    <xf numFmtId="165" fontId="23" fillId="0" borderId="7" xfId="0" applyNumberFormat="1" applyFont="1" applyBorder="1" applyAlignment="1">
      <alignment horizontal="right" vertical="center" indent="1"/>
    </xf>
    <xf numFmtId="0" fontId="31" fillId="0" borderId="0" xfId="0" applyFont="1"/>
    <xf numFmtId="166" fontId="5" fillId="0" borderId="18" xfId="2" applyNumberFormat="1" applyFont="1" applyBorder="1" applyAlignment="1">
      <alignment horizontal="right" vertical="center" indent="1"/>
    </xf>
    <xf numFmtId="166" fontId="5" fillId="0" borderId="7" xfId="2" applyNumberFormat="1" applyFont="1" applyBorder="1" applyAlignment="1">
      <alignment horizontal="right" vertical="center" indent="1"/>
    </xf>
    <xf numFmtId="0" fontId="8" fillId="0" borderId="0" xfId="2" applyFont="1"/>
    <xf numFmtId="0" fontId="5" fillId="0" borderId="25" xfId="7" applyFont="1" applyBorder="1" applyAlignment="1">
      <alignment horizontal="center" vertical="center"/>
    </xf>
    <xf numFmtId="0" fontId="5" fillId="3" borderId="0" xfId="0" applyFont="1" applyFill="1"/>
    <xf numFmtId="166" fontId="4" fillId="7" borderId="20" xfId="2" applyNumberFormat="1" applyFont="1" applyFill="1" applyBorder="1" applyAlignment="1">
      <alignment horizontal="right" vertical="center" indent="1"/>
    </xf>
    <xf numFmtId="166" fontId="4" fillId="0" borderId="20" xfId="2" applyNumberFormat="1" applyFont="1" applyBorder="1" applyAlignment="1">
      <alignment horizontal="right" vertical="center" indent="1"/>
    </xf>
    <xf numFmtId="0" fontId="5" fillId="3" borderId="13" xfId="7" applyFont="1" applyFill="1" applyBorder="1" applyAlignment="1">
      <alignment horizontal="center" vertical="center"/>
    </xf>
    <xf numFmtId="164" fontId="5" fillId="3" borderId="4" xfId="7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5" fillId="0" borderId="0" xfId="0" applyFont="1"/>
    <xf numFmtId="166" fontId="4" fillId="7" borderId="34" xfId="2" applyNumberFormat="1" applyFont="1" applyFill="1" applyBorder="1" applyAlignment="1">
      <alignment horizontal="right" vertical="center" indent="1"/>
    </xf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3" fontId="2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0" fontId="7" fillId="0" borderId="0" xfId="2" applyFont="1" applyAlignment="1">
      <alignment horizontal="right"/>
    </xf>
    <xf numFmtId="0" fontId="23" fillId="0" borderId="0" xfId="2" applyFont="1"/>
    <xf numFmtId="3" fontId="5" fillId="0" borderId="25" xfId="2" applyNumberFormat="1" applyFont="1" applyBorder="1" applyAlignment="1">
      <alignment vertical="center"/>
    </xf>
    <xf numFmtId="3" fontId="5" fillId="3" borderId="25" xfId="2" applyNumberFormat="1" applyFont="1" applyFill="1" applyBorder="1" applyAlignment="1">
      <alignment vertical="center"/>
    </xf>
    <xf numFmtId="3" fontId="5" fillId="0" borderId="18" xfId="2" applyNumberFormat="1" applyFont="1" applyBorder="1" applyAlignment="1">
      <alignment vertical="center"/>
    </xf>
    <xf numFmtId="3" fontId="5" fillId="0" borderId="27" xfId="2" applyNumberFormat="1" applyFont="1" applyBorder="1" applyAlignment="1">
      <alignment vertical="center"/>
    </xf>
    <xf numFmtId="3" fontId="5" fillId="0" borderId="20" xfId="2" applyNumberFormat="1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3" fontId="5" fillId="3" borderId="27" xfId="2" applyNumberFormat="1" applyFont="1" applyFill="1" applyBorder="1" applyAlignment="1">
      <alignment vertical="center"/>
    </xf>
    <xf numFmtId="3" fontId="5" fillId="3" borderId="15" xfId="2" applyNumberFormat="1" applyFont="1" applyFill="1" applyBorder="1" applyAlignment="1">
      <alignment vertical="center"/>
    </xf>
    <xf numFmtId="3" fontId="5" fillId="3" borderId="35" xfId="2" applyNumberFormat="1" applyFont="1" applyFill="1" applyBorder="1" applyAlignment="1">
      <alignment vertical="center"/>
    </xf>
    <xf numFmtId="0" fontId="7" fillId="0" borderId="0" xfId="2" applyFont="1" applyAlignment="1">
      <alignment horizontal="centerContinuous"/>
    </xf>
    <xf numFmtId="3" fontId="5" fillId="0" borderId="7" xfId="2" applyNumberFormat="1" applyFont="1" applyBorder="1" applyAlignment="1">
      <alignment vertical="center"/>
    </xf>
    <xf numFmtId="0" fontId="5" fillId="3" borderId="27" xfId="7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>
      <alignment vertical="center"/>
    </xf>
    <xf numFmtId="0" fontId="13" fillId="0" borderId="4" xfId="7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5" xfId="0" applyNumberFormat="1" applyFont="1" applyBorder="1"/>
    <xf numFmtId="3" fontId="5" fillId="0" borderId="18" xfId="0" applyNumberFormat="1" applyFont="1" applyBorder="1"/>
    <xf numFmtId="3" fontId="5" fillId="0" borderId="4" xfId="0" applyNumberFormat="1" applyFont="1" applyBorder="1"/>
    <xf numFmtId="3" fontId="5" fillId="0" borderId="20" xfId="0" applyNumberFormat="1" applyFont="1" applyBorder="1"/>
    <xf numFmtId="3" fontId="4" fillId="8" borderId="8" xfId="0" applyNumberFormat="1" applyFont="1" applyFill="1" applyBorder="1"/>
    <xf numFmtId="3" fontId="4" fillId="8" borderId="11" xfId="0" applyNumberFormat="1" applyFont="1" applyFill="1" applyBorder="1"/>
    <xf numFmtId="3" fontId="5" fillId="0" borderId="27" xfId="0" applyNumberFormat="1" applyFont="1" applyBorder="1"/>
    <xf numFmtId="3" fontId="5" fillId="0" borderId="7" xfId="0" applyNumberFormat="1" applyFont="1" applyBorder="1"/>
    <xf numFmtId="0" fontId="4" fillId="8" borderId="15" xfId="0" applyFont="1" applyFill="1" applyBorder="1" applyAlignment="1">
      <alignment horizontal="center"/>
    </xf>
    <xf numFmtId="3" fontId="4" fillId="8" borderId="15" xfId="0" applyNumberFormat="1" applyFont="1" applyFill="1" applyBorder="1"/>
    <xf numFmtId="3" fontId="4" fillId="8" borderId="9" xfId="0" applyNumberFormat="1" applyFont="1" applyFill="1" applyBorder="1"/>
    <xf numFmtId="0" fontId="5" fillId="0" borderId="0" xfId="2" applyFont="1" applyAlignment="1">
      <alignment wrapText="1"/>
    </xf>
    <xf numFmtId="3" fontId="5" fillId="3" borderId="0" xfId="0" applyNumberFormat="1" applyFont="1" applyFill="1" applyAlignment="1">
      <alignment horizontal="center" vertical="center" wrapText="1"/>
    </xf>
    <xf numFmtId="3" fontId="23" fillId="3" borderId="0" xfId="0" applyNumberFormat="1" applyFont="1" applyFill="1" applyAlignment="1">
      <alignment horizontal="right" vertical="center"/>
    </xf>
    <xf numFmtId="0" fontId="4" fillId="9" borderId="8" xfId="0" applyFont="1" applyFill="1" applyBorder="1" applyAlignment="1">
      <alignment horizontal="center"/>
    </xf>
    <xf numFmtId="3" fontId="4" fillId="9" borderId="8" xfId="0" applyNumberFormat="1" applyFont="1" applyFill="1" applyBorder="1"/>
    <xf numFmtId="3" fontId="4" fillId="9" borderId="11" xfId="0" applyNumberFormat="1" applyFont="1" applyFill="1" applyBorder="1"/>
    <xf numFmtId="0" fontId="4" fillId="3" borderId="0" xfId="0" applyFont="1" applyFill="1" applyAlignment="1">
      <alignment horizontal="center"/>
    </xf>
    <xf numFmtId="3" fontId="4" fillId="3" borderId="0" xfId="0" applyNumberFormat="1" applyFont="1" applyFill="1"/>
    <xf numFmtId="3" fontId="5" fillId="0" borderId="19" xfId="0" applyNumberFormat="1" applyFont="1" applyBorder="1"/>
    <xf numFmtId="3" fontId="5" fillId="0" borderId="5" xfId="0" applyNumberFormat="1" applyFont="1" applyBorder="1"/>
    <xf numFmtId="3" fontId="5" fillId="0" borderId="35" xfId="0" applyNumberFormat="1" applyFont="1" applyBorder="1"/>
    <xf numFmtId="3" fontId="4" fillId="3" borderId="57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36" fillId="0" borderId="0" xfId="2" applyFont="1" applyAlignment="1">
      <alignment wrapText="1"/>
    </xf>
    <xf numFmtId="3" fontId="5" fillId="3" borderId="0" xfId="0" applyNumberFormat="1" applyFont="1" applyFill="1"/>
    <xf numFmtId="3" fontId="8" fillId="0" borderId="4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 applyProtection="1">
      <alignment horizontal="right" vertical="center" wrapText="1"/>
      <protection locked="0"/>
    </xf>
    <xf numFmtId="3" fontId="12" fillId="0" borderId="24" xfId="0" applyNumberFormat="1" applyFont="1" applyBorder="1" applyAlignment="1" applyProtection="1">
      <alignment horizontal="right" vertical="center" wrapText="1"/>
      <protection locked="0"/>
    </xf>
    <xf numFmtId="3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7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 applyProtection="1">
      <alignment horizontal="right" vertical="center"/>
      <protection locked="0"/>
    </xf>
    <xf numFmtId="166" fontId="12" fillId="0" borderId="7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 applyProtection="1">
      <alignment horizontal="right" vertical="center" wrapText="1"/>
      <protection locked="0"/>
    </xf>
    <xf numFmtId="3" fontId="10" fillId="0" borderId="24" xfId="0" applyNumberFormat="1" applyFont="1" applyBorder="1" applyAlignment="1" applyProtection="1">
      <alignment horizontal="right" vertical="center" wrapText="1"/>
      <protection locked="0"/>
    </xf>
    <xf numFmtId="3" fontId="10" fillId="0" borderId="24" xfId="0" applyNumberFormat="1" applyFont="1" applyBorder="1" applyAlignment="1" applyProtection="1">
      <alignment horizontal="right" vertical="center"/>
      <protection locked="0"/>
    </xf>
    <xf numFmtId="166" fontId="10" fillId="0" borderId="7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 applyProtection="1">
      <alignment horizontal="right" vertical="center" wrapText="1"/>
      <protection locked="0"/>
    </xf>
    <xf numFmtId="3" fontId="10" fillId="0" borderId="29" xfId="0" applyNumberFormat="1" applyFont="1" applyBorder="1" applyAlignment="1" applyProtection="1">
      <alignment horizontal="right" vertical="center" wrapText="1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6" fontId="10" fillId="0" borderId="9" xfId="0" applyNumberFormat="1" applyFont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 wrapText="1"/>
    </xf>
    <xf numFmtId="166" fontId="8" fillId="2" borderId="7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166" fontId="12" fillId="2" borderId="7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 applyProtection="1">
      <alignment horizontal="right" vertical="center" wrapText="1"/>
      <protection locked="0"/>
    </xf>
    <xf numFmtId="165" fontId="12" fillId="0" borderId="7" xfId="0" applyNumberFormat="1" applyFont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165" fontId="4" fillId="2" borderId="1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5" fontId="27" fillId="2" borderId="19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165" fontId="8" fillId="2" borderId="4" xfId="0" applyNumberFormat="1" applyFont="1" applyFill="1" applyBorder="1" applyAlignment="1">
      <alignment horizontal="right" vertical="center" wrapText="1"/>
    </xf>
    <xf numFmtId="165" fontId="12" fillId="2" borderId="4" xfId="0" applyNumberFormat="1" applyFont="1" applyFill="1" applyBorder="1" applyAlignment="1">
      <alignment horizontal="right" vertical="center" wrapText="1"/>
    </xf>
    <xf numFmtId="3" fontId="12" fillId="2" borderId="24" xfId="0" applyNumberFormat="1" applyFont="1" applyFill="1" applyBorder="1" applyAlignment="1">
      <alignment horizontal="right" vertical="center" wrapText="1"/>
    </xf>
    <xf numFmtId="3" fontId="8" fillId="2" borderId="2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 vertical="center" wrapText="1"/>
    </xf>
    <xf numFmtId="3" fontId="8" fillId="2" borderId="24" xfId="0" applyNumberFormat="1" applyFont="1" applyFill="1" applyBorder="1" applyAlignment="1">
      <alignment horizontal="right" vertical="center" wrapText="1"/>
    </xf>
    <xf numFmtId="166" fontId="8" fillId="2" borderId="18" xfId="0" applyNumberFormat="1" applyFont="1" applyFill="1" applyBorder="1" applyAlignment="1">
      <alignment horizontal="right" vertical="center" wrapText="1"/>
    </xf>
    <xf numFmtId="166" fontId="12" fillId="2" borderId="9" xfId="0" applyNumberFormat="1" applyFont="1" applyFill="1" applyBorder="1" applyAlignment="1">
      <alignment horizontal="right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3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43" xfId="0" applyNumberFormat="1" applyFont="1" applyBorder="1" applyAlignment="1" applyProtection="1">
      <alignment horizontal="right" vertical="center" wrapText="1"/>
      <protection locked="0"/>
    </xf>
    <xf numFmtId="166" fontId="12" fillId="0" borderId="20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/>
    </xf>
    <xf numFmtId="3" fontId="5" fillId="3" borderId="4" xfId="7" applyNumberFormat="1" applyFont="1" applyFill="1" applyBorder="1" applyAlignment="1">
      <alignment vertical="center" wrapText="1"/>
    </xf>
    <xf numFmtId="3" fontId="5" fillId="3" borderId="19" xfId="7" applyNumberFormat="1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3" fontId="23" fillId="3" borderId="4" xfId="2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5" fillId="0" borderId="4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horizontal="right" vertical="center"/>
    </xf>
    <xf numFmtId="0" fontId="5" fillId="0" borderId="14" xfId="7" applyFont="1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3" fontId="5" fillId="0" borderId="8" xfId="0" applyNumberFormat="1" applyFont="1" applyBorder="1" applyAlignment="1">
      <alignment vertical="center"/>
    </xf>
    <xf numFmtId="166" fontId="5" fillId="0" borderId="11" xfId="2" applyNumberFormat="1" applyFont="1" applyBorder="1" applyAlignment="1">
      <alignment horizontal="right" vertical="center" indent="1"/>
    </xf>
    <xf numFmtId="0" fontId="8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5" fillId="3" borderId="4" xfId="7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4" xfId="0" applyNumberFormat="1" applyFont="1" applyFill="1" applyBorder="1" applyAlignment="1">
      <alignment horizontal="right" vertical="center" wrapText="1"/>
    </xf>
    <xf numFmtId="3" fontId="12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165" fontId="12" fillId="2" borderId="5" xfId="0" applyNumberFormat="1" applyFont="1" applyFill="1" applyBorder="1" applyAlignment="1">
      <alignment horizontal="right" vertical="center" wrapText="1"/>
    </xf>
    <xf numFmtId="165" fontId="8" fillId="2" borderId="25" xfId="0" applyNumberFormat="1" applyFont="1" applyFill="1" applyBorder="1" applyAlignment="1">
      <alignment horizontal="right" vertical="center" wrapText="1"/>
    </xf>
    <xf numFmtId="165" fontId="12" fillId="2" borderId="15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 applyProtection="1">
      <alignment horizontal="right" vertical="center" wrapText="1"/>
      <protection locked="0"/>
    </xf>
    <xf numFmtId="165" fontId="8" fillId="2" borderId="7" xfId="0" applyNumberFormat="1" applyFont="1" applyFill="1" applyBorder="1" applyAlignment="1">
      <alignment horizontal="right" vertical="center" wrapText="1"/>
    </xf>
    <xf numFmtId="165" fontId="12" fillId="2" borderId="7" xfId="0" applyNumberFormat="1" applyFont="1" applyFill="1" applyBorder="1" applyAlignment="1">
      <alignment horizontal="right" vertical="center" wrapText="1"/>
    </xf>
    <xf numFmtId="165" fontId="12" fillId="2" borderId="9" xfId="0" applyNumberFormat="1" applyFont="1" applyFill="1" applyBorder="1" applyAlignment="1">
      <alignment horizontal="right" vertical="center" wrapText="1"/>
    </xf>
    <xf numFmtId="165" fontId="8" fillId="2" borderId="18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165" fontId="8" fillId="0" borderId="20" xfId="0" applyNumberFormat="1" applyFont="1" applyBorder="1" applyAlignment="1">
      <alignment horizontal="right" vertical="center" wrapText="1"/>
    </xf>
    <xf numFmtId="165" fontId="12" fillId="0" borderId="20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 wrapText="1"/>
    </xf>
    <xf numFmtId="166" fontId="12" fillId="2" borderId="7" xfId="0" applyNumberFormat="1" applyFont="1" applyFill="1" applyBorder="1" applyAlignment="1">
      <alignment vertical="center" wrapText="1"/>
    </xf>
    <xf numFmtId="3" fontId="4" fillId="3" borderId="4" xfId="2" applyNumberFormat="1" applyFont="1" applyFill="1" applyBorder="1" applyAlignment="1">
      <alignment horizontal="right" vertical="center"/>
    </xf>
    <xf numFmtId="3" fontId="4" fillId="7" borderId="26" xfId="2" applyNumberFormat="1" applyFont="1" applyFill="1" applyBorder="1" applyAlignment="1">
      <alignment horizontal="right" vertical="center"/>
    </xf>
    <xf numFmtId="3" fontId="4" fillId="7" borderId="4" xfId="2" applyNumberFormat="1" applyFont="1" applyFill="1" applyBorder="1" applyAlignment="1">
      <alignment horizontal="right" vertical="center" shrinkToFit="1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vertical="center"/>
    </xf>
    <xf numFmtId="166" fontId="12" fillId="2" borderId="9" xfId="0" applyNumberFormat="1" applyFont="1" applyFill="1" applyBorder="1" applyAlignment="1">
      <alignment vertical="center" wrapText="1"/>
    </xf>
    <xf numFmtId="0" fontId="1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3" fontId="5" fillId="3" borderId="7" xfId="0" applyNumberFormat="1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0" fontId="23" fillId="3" borderId="0" xfId="0" applyFont="1" applyFill="1"/>
    <xf numFmtId="0" fontId="13" fillId="3" borderId="4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3" borderId="20" xfId="2" applyNumberFormat="1" applyFont="1" applyFill="1" applyBorder="1" applyAlignment="1">
      <alignment vertical="center"/>
    </xf>
    <xf numFmtId="0" fontId="5" fillId="3" borderId="0" xfId="2" applyFont="1" applyFill="1"/>
    <xf numFmtId="0" fontId="5" fillId="3" borderId="25" xfId="7" applyFont="1" applyFill="1" applyBorder="1" applyAlignment="1">
      <alignment horizontal="center" vertical="center"/>
    </xf>
    <xf numFmtId="3" fontId="5" fillId="3" borderId="18" xfId="2" applyNumberFormat="1" applyFont="1" applyFill="1" applyBorder="1" applyAlignment="1">
      <alignment vertical="center"/>
    </xf>
    <xf numFmtId="3" fontId="5" fillId="3" borderId="5" xfId="2" applyNumberFormat="1" applyFont="1" applyFill="1" applyBorder="1" applyAlignment="1">
      <alignment vertical="center"/>
    </xf>
    <xf numFmtId="3" fontId="5" fillId="3" borderId="19" xfId="2" applyNumberFormat="1" applyFont="1" applyFill="1" applyBorder="1" applyAlignment="1">
      <alignment vertical="center"/>
    </xf>
    <xf numFmtId="0" fontId="4" fillId="10" borderId="37" xfId="0" applyFont="1" applyFill="1" applyBorder="1" applyAlignment="1">
      <alignment horizontal="center" vertical="center" textRotation="90"/>
    </xf>
    <xf numFmtId="0" fontId="4" fillId="10" borderId="38" xfId="0" applyFont="1" applyFill="1" applyBorder="1" applyAlignment="1">
      <alignment horizontal="center" vertical="center"/>
    </xf>
    <xf numFmtId="3" fontId="8" fillId="10" borderId="38" xfId="0" applyNumberFormat="1" applyFont="1" applyFill="1" applyBorder="1" applyAlignment="1">
      <alignment horizontal="center" vertical="center" wrapText="1"/>
    </xf>
    <xf numFmtId="3" fontId="8" fillId="10" borderId="39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vertical="center"/>
    </xf>
    <xf numFmtId="165" fontId="4" fillId="10" borderId="11" xfId="0" applyNumberFormat="1" applyFont="1" applyFill="1" applyBorder="1" applyAlignment="1">
      <alignment horizontal="right" vertical="center" indent="1"/>
    </xf>
    <xf numFmtId="3" fontId="4" fillId="10" borderId="15" xfId="0" applyNumberFormat="1" applyFont="1" applyFill="1" applyBorder="1" applyAlignment="1">
      <alignment vertical="center"/>
    </xf>
    <xf numFmtId="165" fontId="4" fillId="10" borderId="9" xfId="0" applyNumberFormat="1" applyFont="1" applyFill="1" applyBorder="1" applyAlignment="1">
      <alignment horizontal="right" vertical="center" indent="1"/>
    </xf>
    <xf numFmtId="3" fontId="19" fillId="10" borderId="40" xfId="0" applyNumberFormat="1" applyFont="1" applyFill="1" applyBorder="1" applyAlignment="1">
      <alignment vertical="center"/>
    </xf>
    <xf numFmtId="165" fontId="19" fillId="10" borderId="41" xfId="0" applyNumberFormat="1" applyFont="1" applyFill="1" applyBorder="1" applyAlignment="1">
      <alignment horizontal="right" vertical="center" indent="1"/>
    </xf>
    <xf numFmtId="0" fontId="5" fillId="3" borderId="5" xfId="7" applyFont="1" applyFill="1" applyBorder="1" applyAlignment="1">
      <alignment horizontal="left" vertical="center" wrapText="1"/>
    </xf>
    <xf numFmtId="0" fontId="5" fillId="3" borderId="5" xfId="7" applyFont="1" applyFill="1" applyBorder="1" applyAlignment="1">
      <alignment horizontal="left" vertical="center"/>
    </xf>
    <xf numFmtId="3" fontId="4" fillId="10" borderId="26" xfId="2" applyNumberFormat="1" applyFont="1" applyFill="1" applyBorder="1" applyAlignment="1">
      <alignment horizontal="right" vertical="center"/>
    </xf>
    <xf numFmtId="3" fontId="4" fillId="10" borderId="65" xfId="2" applyNumberFormat="1" applyFont="1" applyFill="1" applyBorder="1" applyAlignment="1">
      <alignment horizontal="right" vertical="center"/>
    </xf>
    <xf numFmtId="166" fontId="4" fillId="10" borderId="34" xfId="2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right" vertical="center"/>
    </xf>
    <xf numFmtId="0" fontId="23" fillId="3" borderId="5" xfId="7" applyFont="1" applyFill="1" applyBorder="1" applyAlignment="1">
      <alignment vertical="center" shrinkToFit="1"/>
    </xf>
    <xf numFmtId="0" fontId="5" fillId="0" borderId="5" xfId="7" applyFont="1" applyBorder="1" applyAlignment="1">
      <alignment vertical="center" shrinkToFit="1"/>
    </xf>
    <xf numFmtId="166" fontId="4" fillId="0" borderId="7" xfId="2" applyNumberFormat="1" applyFont="1" applyBorder="1" applyAlignment="1">
      <alignment horizontal="right" vertical="center" indent="1"/>
    </xf>
    <xf numFmtId="0" fontId="13" fillId="0" borderId="5" xfId="7" applyFont="1" applyBorder="1" applyAlignment="1">
      <alignment vertical="center" wrapText="1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left" vertical="center" shrinkToFit="1"/>
    </xf>
    <xf numFmtId="3" fontId="5" fillId="0" borderId="3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3" xfId="7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4" fillId="10" borderId="8" xfId="2" applyFont="1" applyFill="1" applyBorder="1" applyAlignment="1">
      <alignment horizontal="center" vertical="center"/>
    </xf>
    <xf numFmtId="3" fontId="4" fillId="10" borderId="8" xfId="2" applyNumberFormat="1" applyFont="1" applyFill="1" applyBorder="1" applyAlignment="1">
      <alignment horizontal="center" vertical="center" wrapText="1"/>
    </xf>
    <xf numFmtId="3" fontId="15" fillId="10" borderId="8" xfId="2" applyNumberFormat="1" applyFont="1" applyFill="1" applyBorder="1" applyAlignment="1">
      <alignment horizontal="center" vertical="center" wrapText="1"/>
    </xf>
    <xf numFmtId="0" fontId="4" fillId="10" borderId="11" xfId="2" applyFont="1" applyFill="1" applyBorder="1" applyAlignment="1">
      <alignment horizontal="center" vertical="center"/>
    </xf>
    <xf numFmtId="0" fontId="7" fillId="10" borderId="25" xfId="7" applyFont="1" applyFill="1" applyBorder="1" applyAlignment="1">
      <alignment horizontal="center" vertical="center"/>
    </xf>
    <xf numFmtId="3" fontId="19" fillId="10" borderId="25" xfId="2" applyNumberFormat="1" applyFont="1" applyFill="1" applyBorder="1" applyAlignment="1">
      <alignment vertical="center"/>
    </xf>
    <xf numFmtId="3" fontId="19" fillId="10" borderId="18" xfId="2" applyNumberFormat="1" applyFont="1" applyFill="1" applyBorder="1" applyAlignment="1">
      <alignment vertical="center"/>
    </xf>
    <xf numFmtId="0" fontId="4" fillId="10" borderId="27" xfId="7" applyFont="1" applyFill="1" applyBorder="1" applyAlignment="1">
      <alignment horizontal="center" vertical="center"/>
    </xf>
    <xf numFmtId="3" fontId="19" fillId="10" borderId="27" xfId="2" applyNumberFormat="1" applyFont="1" applyFill="1" applyBorder="1" applyAlignment="1">
      <alignment vertical="center"/>
    </xf>
    <xf numFmtId="3" fontId="19" fillId="10" borderId="20" xfId="2" applyNumberFormat="1" applyFont="1" applyFill="1" applyBorder="1" applyAlignment="1">
      <alignment vertical="center"/>
    </xf>
    <xf numFmtId="0" fontId="4" fillId="10" borderId="26" xfId="7" applyFont="1" applyFill="1" applyBorder="1" applyAlignment="1">
      <alignment horizontal="center" vertical="center"/>
    </xf>
    <xf numFmtId="3" fontId="4" fillId="10" borderId="8" xfId="2" applyNumberFormat="1" applyFont="1" applyFill="1" applyBorder="1"/>
    <xf numFmtId="3" fontId="4" fillId="10" borderId="11" xfId="2" applyNumberFormat="1" applyFont="1" applyFill="1" applyBorder="1"/>
    <xf numFmtId="0" fontId="4" fillId="10" borderId="4" xfId="7" applyFont="1" applyFill="1" applyBorder="1" applyAlignment="1">
      <alignment horizontal="center" vertical="center"/>
    </xf>
    <xf numFmtId="0" fontId="4" fillId="10" borderId="8" xfId="7" applyFont="1" applyFill="1" applyBorder="1" applyAlignment="1">
      <alignment horizontal="center" vertical="center"/>
    </xf>
    <xf numFmtId="3" fontId="8" fillId="10" borderId="8" xfId="2" applyNumberFormat="1" applyFont="1" applyFill="1" applyBorder="1" applyAlignment="1">
      <alignment horizontal="center" vertical="center" wrapText="1"/>
    </xf>
    <xf numFmtId="3" fontId="4" fillId="10" borderId="11" xfId="0" applyNumberFormat="1" applyFont="1" applyFill="1" applyBorder="1" applyAlignment="1">
      <alignment vertical="center"/>
    </xf>
    <xf numFmtId="3" fontId="4" fillId="10" borderId="8" xfId="2" applyNumberFormat="1" applyFont="1" applyFill="1" applyBorder="1" applyAlignment="1">
      <alignment vertical="center"/>
    </xf>
    <xf numFmtId="3" fontId="4" fillId="10" borderId="11" xfId="2" applyNumberFormat="1" applyFont="1" applyFill="1" applyBorder="1" applyAlignment="1">
      <alignment vertical="center"/>
    </xf>
    <xf numFmtId="3" fontId="4" fillId="10" borderId="4" xfId="0" applyNumberFormat="1" applyFont="1" applyFill="1" applyBorder="1" applyAlignment="1">
      <alignment horizontal="center" vertical="center" wrapText="1"/>
    </xf>
    <xf numFmtId="3" fontId="26" fillId="10" borderId="4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/>
    </xf>
    <xf numFmtId="3" fontId="4" fillId="10" borderId="8" xfId="0" applyNumberFormat="1" applyFont="1" applyFill="1" applyBorder="1" applyAlignment="1">
      <alignment horizontal="center" vertical="center" wrapText="1"/>
    </xf>
    <xf numFmtId="3" fontId="22" fillId="10" borderId="14" xfId="0" applyNumberFormat="1" applyFont="1" applyFill="1" applyBorder="1" applyAlignment="1">
      <alignment horizontal="center" vertical="center" textRotation="180" wrapText="1"/>
    </xf>
    <xf numFmtId="3" fontId="6" fillId="10" borderId="8" xfId="0" applyNumberFormat="1" applyFont="1" applyFill="1" applyBorder="1" applyAlignment="1">
      <alignment horizontal="center" vertical="center" textRotation="180" wrapText="1"/>
    </xf>
    <xf numFmtId="3" fontId="4" fillId="10" borderId="22" xfId="0" applyNumberFormat="1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3" fontId="24" fillId="10" borderId="8" xfId="0" applyNumberFormat="1" applyFont="1" applyFill="1" applyBorder="1" applyAlignment="1">
      <alignment horizontal="right" vertical="center" wrapText="1"/>
    </xf>
    <xf numFmtId="3" fontId="24" fillId="10" borderId="8" xfId="0" applyNumberFormat="1" applyFont="1" applyFill="1" applyBorder="1" applyAlignment="1">
      <alignment horizontal="right" vertical="center" wrapText="1" indent="1"/>
    </xf>
    <xf numFmtId="3" fontId="24" fillId="10" borderId="28" xfId="0" applyNumberFormat="1" applyFont="1" applyFill="1" applyBorder="1" applyAlignment="1">
      <alignment horizontal="right" vertical="center" wrapText="1"/>
    </xf>
    <xf numFmtId="166" fontId="24" fillId="10" borderId="11" xfId="0" applyNumberFormat="1" applyFont="1" applyFill="1" applyBorder="1" applyAlignment="1">
      <alignment horizontal="right" vertical="center" wrapText="1"/>
    </xf>
    <xf numFmtId="3" fontId="8" fillId="10" borderId="26" xfId="0" applyNumberFormat="1" applyFont="1" applyFill="1" applyBorder="1" applyAlignment="1">
      <alignment horizontal="right" vertical="center" wrapText="1"/>
    </xf>
    <xf numFmtId="3" fontId="8" fillId="10" borderId="36" xfId="0" applyNumberFormat="1" applyFont="1" applyFill="1" applyBorder="1" applyAlignment="1">
      <alignment horizontal="right" vertical="center" wrapText="1"/>
    </xf>
    <xf numFmtId="3" fontId="24" fillId="10" borderId="11" xfId="0" applyNumberFormat="1" applyFont="1" applyFill="1" applyBorder="1" applyAlignment="1">
      <alignment horizontal="right" vertical="center" wrapText="1"/>
    </xf>
    <xf numFmtId="3" fontId="4" fillId="10" borderId="28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28" xfId="0" applyNumberFormat="1" applyFont="1" applyFill="1" applyBorder="1" applyAlignment="1">
      <alignment horizontal="right" vertical="center" wrapText="1"/>
    </xf>
    <xf numFmtId="166" fontId="8" fillId="10" borderId="11" xfId="0" applyNumberFormat="1" applyFont="1" applyFill="1" applyBorder="1" applyAlignment="1">
      <alignment horizontal="right" vertical="center" wrapText="1"/>
    </xf>
    <xf numFmtId="3" fontId="24" fillId="10" borderId="8" xfId="0" applyNumberFormat="1" applyFont="1" applyFill="1" applyBorder="1" applyAlignment="1">
      <alignment horizontal="center" vertical="center" wrapText="1"/>
    </xf>
    <xf numFmtId="3" fontId="24" fillId="10" borderId="11" xfId="0" applyNumberFormat="1" applyFont="1" applyFill="1" applyBorder="1" applyAlignment="1">
      <alignment horizontal="center" vertical="center" wrapText="1"/>
    </xf>
    <xf numFmtId="3" fontId="25" fillId="10" borderId="28" xfId="0" applyNumberFormat="1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 wrapText="1"/>
    </xf>
    <xf numFmtId="3" fontId="8" fillId="10" borderId="22" xfId="0" applyNumberFormat="1" applyFont="1" applyFill="1" applyBorder="1" applyAlignment="1">
      <alignment horizontal="right" vertical="center" wrapText="1"/>
    </xf>
    <xf numFmtId="3" fontId="8" fillId="10" borderId="8" xfId="0" applyNumberFormat="1" applyFont="1" applyFill="1" applyBorder="1" applyAlignment="1">
      <alignment horizontal="right" vertical="center" wrapText="1"/>
    </xf>
    <xf numFmtId="165" fontId="8" fillId="10" borderId="34" xfId="0" applyNumberFormat="1" applyFont="1" applyFill="1" applyBorder="1" applyAlignment="1">
      <alignment horizontal="right" vertical="center" wrapText="1"/>
    </xf>
    <xf numFmtId="3" fontId="8" fillId="10" borderId="22" xfId="0" applyNumberFormat="1" applyFont="1" applyFill="1" applyBorder="1" applyAlignment="1">
      <alignment horizontal="center" vertical="center" wrapText="1"/>
    </xf>
    <xf numFmtId="165" fontId="24" fillId="10" borderId="8" xfId="0" applyNumberFormat="1" applyFont="1" applyFill="1" applyBorder="1" applyAlignment="1">
      <alignment horizontal="right" vertical="center" wrapText="1"/>
    </xf>
    <xf numFmtId="3" fontId="24" fillId="10" borderId="21" xfId="0" applyNumberFormat="1" applyFont="1" applyFill="1" applyBorder="1" applyAlignment="1">
      <alignment horizontal="center" vertical="center" wrapText="1"/>
    </xf>
    <xf numFmtId="3" fontId="24" fillId="10" borderId="21" xfId="0" applyNumberFormat="1" applyFont="1" applyFill="1" applyBorder="1" applyAlignment="1">
      <alignment horizontal="right" vertical="center" wrapText="1"/>
    </xf>
    <xf numFmtId="3" fontId="8" fillId="10" borderId="34" xfId="0" applyNumberFormat="1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3" fontId="8" fillId="11" borderId="4" xfId="0" applyNumberFormat="1" applyFont="1" applyFill="1" applyBorder="1" applyAlignment="1">
      <alignment horizontal="right" vertical="center" wrapText="1"/>
    </xf>
    <xf numFmtId="166" fontId="8" fillId="11" borderId="7" xfId="0" applyNumberFormat="1" applyFont="1" applyFill="1" applyBorder="1" applyAlignment="1">
      <alignment horizontal="right" vertical="center" wrapText="1"/>
    </xf>
    <xf numFmtId="3" fontId="4" fillId="11" borderId="3" xfId="0" applyNumberFormat="1" applyFont="1" applyFill="1" applyBorder="1" applyAlignment="1">
      <alignment horizontal="center" vertical="center" wrapText="1"/>
    </xf>
    <xf numFmtId="165" fontId="8" fillId="11" borderId="7" xfId="0" applyNumberFormat="1" applyFont="1" applyFill="1" applyBorder="1" applyAlignment="1">
      <alignment horizontal="right" vertical="center" wrapText="1"/>
    </xf>
    <xf numFmtId="0" fontId="8" fillId="11" borderId="2" xfId="0" applyFont="1" applyFill="1" applyBorder="1" applyAlignment="1">
      <alignment vertical="center"/>
    </xf>
    <xf numFmtId="3" fontId="10" fillId="11" borderId="4" xfId="0" applyNumberFormat="1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left" vertical="center"/>
    </xf>
    <xf numFmtId="3" fontId="12" fillId="11" borderId="4" xfId="0" applyNumberFormat="1" applyFont="1" applyFill="1" applyBorder="1" applyAlignment="1">
      <alignment horizontal="right" vertical="center" wrapText="1"/>
    </xf>
    <xf numFmtId="166" fontId="12" fillId="11" borderId="7" xfId="0" applyNumberFormat="1" applyFont="1" applyFill="1" applyBorder="1" applyAlignment="1">
      <alignment horizontal="right" vertical="center" wrapText="1"/>
    </xf>
    <xf numFmtId="3" fontId="4" fillId="11" borderId="2" xfId="0" applyNumberFormat="1" applyFont="1" applyFill="1" applyBorder="1" applyAlignment="1">
      <alignment vertical="center" wrapText="1"/>
    </xf>
    <xf numFmtId="3" fontId="12" fillId="11" borderId="5" xfId="0" applyNumberFormat="1" applyFont="1" applyFill="1" applyBorder="1" applyAlignment="1">
      <alignment horizontal="right" vertical="center" wrapText="1"/>
    </xf>
    <xf numFmtId="165" fontId="12" fillId="11" borderId="7" xfId="0" applyNumberFormat="1" applyFont="1" applyFill="1" applyBorder="1" applyAlignment="1">
      <alignment horizontal="right" vertical="center" wrapText="1"/>
    </xf>
    <xf numFmtId="0" fontId="8" fillId="11" borderId="12" xfId="0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left" vertical="center"/>
    </xf>
    <xf numFmtId="3" fontId="12" fillId="11" borderId="8" xfId="0" applyNumberFormat="1" applyFont="1" applyFill="1" applyBorder="1" applyAlignment="1">
      <alignment horizontal="right" vertical="center" wrapText="1"/>
    </xf>
    <xf numFmtId="166" fontId="12" fillId="11" borderId="11" xfId="0" applyNumberFormat="1" applyFont="1" applyFill="1" applyBorder="1" applyAlignment="1">
      <alignment horizontal="right" vertical="center" wrapText="1"/>
    </xf>
    <xf numFmtId="3" fontId="4" fillId="11" borderId="12" xfId="0" applyNumberFormat="1" applyFont="1" applyFill="1" applyBorder="1" applyAlignment="1">
      <alignment vertical="center" wrapText="1"/>
    </xf>
    <xf numFmtId="3" fontId="12" fillId="11" borderId="21" xfId="0" applyNumberFormat="1" applyFont="1" applyFill="1" applyBorder="1" applyAlignment="1">
      <alignment horizontal="right" vertical="center" wrapText="1"/>
    </xf>
    <xf numFmtId="165" fontId="12" fillId="11" borderId="11" xfId="0" applyNumberFormat="1" applyFont="1" applyFill="1" applyBorder="1" applyAlignment="1">
      <alignment horizontal="right" vertical="center" wrapText="1"/>
    </xf>
    <xf numFmtId="3" fontId="4" fillId="11" borderId="29" xfId="0" applyNumberFormat="1" applyFont="1" applyFill="1" applyBorder="1" applyAlignment="1">
      <alignment horizontal="center" vertical="center" wrapText="1"/>
    </xf>
    <xf numFmtId="3" fontId="4" fillId="11" borderId="59" xfId="0" applyNumberFormat="1" applyFont="1" applyFill="1" applyBorder="1" applyAlignment="1">
      <alignment vertical="center" wrapText="1"/>
    </xf>
    <xf numFmtId="166" fontId="12" fillId="11" borderId="34" xfId="0" applyNumberFormat="1" applyFont="1" applyFill="1" applyBorder="1" applyAlignment="1">
      <alignment horizontal="right" vertical="center" wrapText="1"/>
    </xf>
    <xf numFmtId="3" fontId="4" fillId="11" borderId="36" xfId="0" applyNumberFormat="1" applyFont="1" applyFill="1" applyBorder="1" applyAlignment="1">
      <alignment vertical="center" wrapText="1"/>
    </xf>
    <xf numFmtId="0" fontId="4" fillId="11" borderId="8" xfId="7" applyFont="1" applyFill="1" applyBorder="1" applyAlignment="1">
      <alignment horizontal="center" vertical="center"/>
    </xf>
    <xf numFmtId="3" fontId="4" fillId="11" borderId="8" xfId="2" applyNumberFormat="1" applyFont="1" applyFill="1" applyBorder="1" applyAlignment="1">
      <alignment vertical="center"/>
    </xf>
    <xf numFmtId="3" fontId="4" fillId="11" borderId="11" xfId="2" applyNumberFormat="1" applyFont="1" applyFill="1" applyBorder="1" applyAlignment="1">
      <alignment vertical="center"/>
    </xf>
    <xf numFmtId="3" fontId="4" fillId="11" borderId="15" xfId="2" applyNumberFormat="1" applyFont="1" applyFill="1" applyBorder="1" applyAlignment="1">
      <alignment vertical="center"/>
    </xf>
    <xf numFmtId="3" fontId="4" fillId="11" borderId="9" xfId="2" applyNumberFormat="1" applyFont="1" applyFill="1" applyBorder="1" applyAlignment="1">
      <alignment vertical="center"/>
    </xf>
    <xf numFmtId="3" fontId="39" fillId="0" borderId="24" xfId="0" applyNumberFormat="1" applyFont="1" applyBorder="1" applyAlignment="1" applyProtection="1">
      <alignment horizontal="right" vertical="center" wrapText="1"/>
      <protection locked="0"/>
    </xf>
    <xf numFmtId="3" fontId="39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24" xfId="0" applyNumberFormat="1" applyFont="1" applyBorder="1" applyAlignment="1" applyProtection="1">
      <alignment horizontal="right" vertical="center"/>
      <protection locked="0"/>
    </xf>
    <xf numFmtId="3" fontId="40" fillId="0" borderId="24" xfId="0" applyNumberFormat="1" applyFont="1" applyBorder="1" applyAlignment="1" applyProtection="1">
      <alignment horizontal="right" vertical="center"/>
      <protection locked="0"/>
    </xf>
    <xf numFmtId="165" fontId="41" fillId="2" borderId="7" xfId="0" applyNumberFormat="1" applyFont="1" applyFill="1" applyBorder="1" applyAlignment="1">
      <alignment horizontal="right" vertical="center" wrapText="1"/>
    </xf>
    <xf numFmtId="0" fontId="4" fillId="10" borderId="8" xfId="0" applyFont="1" applyFill="1" applyBorder="1" applyAlignment="1">
      <alignment horizontal="center"/>
    </xf>
    <xf numFmtId="3" fontId="4" fillId="10" borderId="8" xfId="0" applyNumberFormat="1" applyFont="1" applyFill="1" applyBorder="1"/>
    <xf numFmtId="3" fontId="4" fillId="10" borderId="11" xfId="0" applyNumberFormat="1" applyFont="1" applyFill="1" applyBorder="1"/>
    <xf numFmtId="0" fontId="4" fillId="10" borderId="8" xfId="0" applyFont="1" applyFill="1" applyBorder="1" applyAlignment="1">
      <alignment horizontal="center" vertical="center" wrapText="1"/>
    </xf>
    <xf numFmtId="0" fontId="4" fillId="10" borderId="26" xfId="2" applyFont="1" applyFill="1" applyBorder="1" applyAlignment="1">
      <alignment horizontal="center" vertical="center"/>
    </xf>
    <xf numFmtId="3" fontId="4" fillId="10" borderId="26" xfId="2" applyNumberFormat="1" applyFont="1" applyFill="1" applyBorder="1" applyAlignment="1">
      <alignment horizontal="center" vertical="center" wrapText="1"/>
    </xf>
    <xf numFmtId="3" fontId="8" fillId="10" borderId="26" xfId="2" applyNumberFormat="1" applyFont="1" applyFill="1" applyBorder="1" applyAlignment="1">
      <alignment horizontal="center" vertical="center" wrapText="1"/>
    </xf>
    <xf numFmtId="0" fontId="8" fillId="10" borderId="65" xfId="2" applyFont="1" applyFill="1" applyBorder="1" applyAlignment="1">
      <alignment horizontal="center" vertical="center" wrapText="1"/>
    </xf>
    <xf numFmtId="0" fontId="4" fillId="10" borderId="34" xfId="2" applyFont="1" applyFill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8" borderId="25" xfId="0" applyFont="1" applyFill="1" applyBorder="1" applyAlignment="1">
      <alignment horizontal="center"/>
    </xf>
    <xf numFmtId="3" fontId="4" fillId="8" borderId="25" xfId="0" applyNumberFormat="1" applyFont="1" applyFill="1" applyBorder="1"/>
    <xf numFmtId="0" fontId="4" fillId="8" borderId="4" xfId="0" applyFont="1" applyFill="1" applyBorder="1" applyAlignment="1">
      <alignment horizontal="center"/>
    </xf>
    <xf numFmtId="3" fontId="4" fillId="8" borderId="27" xfId="0" applyNumberFormat="1" applyFont="1" applyFill="1" applyBorder="1"/>
    <xf numFmtId="0" fontId="8" fillId="9" borderId="25" xfId="0" applyFont="1" applyFill="1" applyBorder="1" applyAlignment="1">
      <alignment horizontal="center"/>
    </xf>
    <xf numFmtId="3" fontId="4" fillId="9" borderId="25" xfId="0" applyNumberFormat="1" applyFont="1" applyFill="1" applyBorder="1"/>
    <xf numFmtId="3" fontId="4" fillId="9" borderId="18" xfId="0" applyNumberFormat="1" applyFont="1" applyFill="1" applyBorder="1"/>
    <xf numFmtId="0" fontId="4" fillId="9" borderId="4" xfId="0" applyFont="1" applyFill="1" applyBorder="1" applyAlignment="1">
      <alignment horizontal="center"/>
    </xf>
    <xf numFmtId="3" fontId="4" fillId="9" borderId="4" xfId="0" applyNumberFormat="1" applyFont="1" applyFill="1" applyBorder="1"/>
    <xf numFmtId="3" fontId="4" fillId="9" borderId="7" xfId="0" applyNumberFormat="1" applyFont="1" applyFill="1" applyBorder="1"/>
    <xf numFmtId="0" fontId="8" fillId="10" borderId="25" xfId="0" applyFont="1" applyFill="1" applyBorder="1" applyAlignment="1">
      <alignment horizontal="center"/>
    </xf>
    <xf numFmtId="3" fontId="4" fillId="10" borderId="25" xfId="0" applyNumberFormat="1" applyFont="1" applyFill="1" applyBorder="1"/>
    <xf numFmtId="3" fontId="4" fillId="10" borderId="18" xfId="0" applyNumberFormat="1" applyFont="1" applyFill="1" applyBorder="1"/>
    <xf numFmtId="0" fontId="4" fillId="10" borderId="4" xfId="0" applyFont="1" applyFill="1" applyBorder="1" applyAlignment="1">
      <alignment horizontal="center"/>
    </xf>
    <xf numFmtId="3" fontId="4" fillId="10" borderId="4" xfId="0" applyNumberFormat="1" applyFont="1" applyFill="1" applyBorder="1"/>
    <xf numFmtId="3" fontId="4" fillId="10" borderId="7" xfId="0" applyNumberFormat="1" applyFont="1" applyFill="1" applyBorder="1"/>
    <xf numFmtId="0" fontId="13" fillId="3" borderId="4" xfId="7" applyFont="1" applyFill="1" applyBorder="1" applyAlignment="1">
      <alignment horizontal="center" vertical="center"/>
    </xf>
    <xf numFmtId="0" fontId="13" fillId="3" borderId="4" xfId="7" applyFont="1" applyFill="1" applyBorder="1" applyAlignment="1">
      <alignment horizontal="center" vertical="center" wrapText="1"/>
    </xf>
    <xf numFmtId="3" fontId="4" fillId="8" borderId="18" xfId="0" applyNumberFormat="1" applyFont="1" applyFill="1" applyBorder="1"/>
    <xf numFmtId="3" fontId="4" fillId="8" borderId="20" xfId="0" applyNumberFormat="1" applyFont="1" applyFill="1" applyBorder="1"/>
    <xf numFmtId="3" fontId="23" fillId="0" borderId="4" xfId="0" applyNumberFormat="1" applyFont="1" applyBorder="1"/>
    <xf numFmtId="3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/>
    </xf>
    <xf numFmtId="3" fontId="12" fillId="0" borderId="15" xfId="2" applyNumberFormat="1" applyFont="1" applyBorder="1" applyAlignment="1" applyProtection="1">
      <alignment horizontal="right" vertical="center" wrapText="1"/>
      <protection locked="0"/>
    </xf>
    <xf numFmtId="3" fontId="12" fillId="0" borderId="54" xfId="2" applyNumberFormat="1" applyFont="1" applyBorder="1" applyAlignment="1">
      <alignment horizontal="right" vertical="center"/>
    </xf>
    <xf numFmtId="3" fontId="12" fillId="0" borderId="4" xfId="2" applyNumberFormat="1" applyFont="1" applyBorder="1" applyAlignment="1" applyProtection="1">
      <alignment horizontal="right" vertical="center" wrapText="1"/>
      <protection locked="0"/>
    </xf>
    <xf numFmtId="0" fontId="5" fillId="0" borderId="30" xfId="7" applyFont="1" applyBorder="1" applyAlignment="1">
      <alignment horizontal="center" vertical="center"/>
    </xf>
    <xf numFmtId="0" fontId="13" fillId="0" borderId="35" xfId="7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shrinkToFit="1"/>
    </xf>
    <xf numFmtId="3" fontId="23" fillId="3" borderId="8" xfId="2" applyNumberFormat="1" applyFont="1" applyFill="1" applyBorder="1" applyAlignment="1">
      <alignment horizontal="right" vertical="center"/>
    </xf>
    <xf numFmtId="3" fontId="5" fillId="3" borderId="27" xfId="0" applyNumberFormat="1" applyFont="1" applyFill="1" applyBorder="1" applyAlignment="1">
      <alignment horizontal="right" vertical="center"/>
    </xf>
    <xf numFmtId="0" fontId="38" fillId="0" borderId="5" xfId="7" applyFont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0" fontId="5" fillId="3" borderId="5" xfId="7" applyFont="1" applyFill="1" applyBorder="1" applyAlignment="1">
      <alignment vertical="center" shrinkToFit="1"/>
    </xf>
    <xf numFmtId="0" fontId="23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3" fontId="23" fillId="0" borderId="24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3" fontId="23" fillId="0" borderId="15" xfId="0" applyNumberFormat="1" applyFont="1" applyBorder="1" applyAlignment="1">
      <alignment vertical="center"/>
    </xf>
    <xf numFmtId="16" fontId="5" fillId="3" borderId="1" xfId="7" applyNumberFormat="1" applyFont="1" applyFill="1" applyBorder="1" applyAlignment="1">
      <alignment horizontal="center" vertical="center"/>
    </xf>
    <xf numFmtId="0" fontId="5" fillId="3" borderId="27" xfId="7" applyFont="1" applyFill="1" applyBorder="1" applyAlignment="1">
      <alignment vertical="center" wrapText="1"/>
    </xf>
    <xf numFmtId="3" fontId="5" fillId="3" borderId="5" xfId="7" applyNumberFormat="1" applyFont="1" applyFill="1" applyBorder="1" applyAlignment="1">
      <alignment vertical="center" wrapText="1"/>
    </xf>
    <xf numFmtId="3" fontId="5" fillId="3" borderId="16" xfId="7" applyNumberFormat="1" applyFont="1" applyFill="1" applyBorder="1" applyAlignment="1">
      <alignment vertical="center" wrapText="1"/>
    </xf>
    <xf numFmtId="16" fontId="5" fillId="3" borderId="3" xfId="7" applyNumberFormat="1" applyFont="1" applyFill="1" applyBorder="1" applyAlignment="1">
      <alignment horizontal="center" vertical="center"/>
    </xf>
    <xf numFmtId="16" fontId="5" fillId="0" borderId="13" xfId="7" applyNumberFormat="1" applyFont="1" applyBorder="1" applyAlignment="1">
      <alignment horizontal="center" vertical="center"/>
    </xf>
    <xf numFmtId="0" fontId="5" fillId="3" borderId="4" xfId="7" applyFont="1" applyFill="1" applyBorder="1" applyAlignment="1">
      <alignment horizontal="left" vertical="center" wrapText="1"/>
    </xf>
    <xf numFmtId="165" fontId="5" fillId="3" borderId="20" xfId="0" applyNumberFormat="1" applyFont="1" applyFill="1" applyBorder="1" applyAlignment="1">
      <alignment horizontal="right" vertical="center" indent="1"/>
    </xf>
    <xf numFmtId="0" fontId="5" fillId="3" borderId="15" xfId="7" applyFont="1" applyFill="1" applyBorder="1" applyAlignment="1">
      <alignment horizontal="center" vertical="center"/>
    </xf>
    <xf numFmtId="3" fontId="23" fillId="3" borderId="0" xfId="0" applyNumberFormat="1" applyFont="1" applyFill="1"/>
    <xf numFmtId="3" fontId="23" fillId="3" borderId="15" xfId="0" applyNumberFormat="1" applyFont="1" applyFill="1" applyBorder="1" applyAlignment="1">
      <alignment vertical="center"/>
    </xf>
    <xf numFmtId="0" fontId="42" fillId="3" borderId="4" xfId="0" applyFont="1" applyFill="1" applyBorder="1" applyAlignment="1">
      <alignment horizontal="center" vertical="center"/>
    </xf>
    <xf numFmtId="3" fontId="19" fillId="10" borderId="26" xfId="2" applyNumberFormat="1" applyFont="1" applyFill="1" applyBorder="1" applyAlignment="1">
      <alignment vertical="center"/>
    </xf>
    <xf numFmtId="3" fontId="19" fillId="10" borderId="34" xfId="2" applyNumberFormat="1" applyFont="1" applyFill="1" applyBorder="1" applyAlignment="1">
      <alignment vertical="center"/>
    </xf>
    <xf numFmtId="0" fontId="4" fillId="11" borderId="15" xfId="7" applyFont="1" applyFill="1" applyBorder="1" applyAlignment="1">
      <alignment horizontal="center" vertical="center"/>
    </xf>
    <xf numFmtId="0" fontId="5" fillId="0" borderId="35" xfId="7" applyFont="1" applyBorder="1" applyAlignment="1">
      <alignment horizontal="center" vertical="center"/>
    </xf>
    <xf numFmtId="0" fontId="5" fillId="0" borderId="5" xfId="7" applyFont="1" applyBorder="1" applyAlignment="1">
      <alignment horizontal="center" vertical="center"/>
    </xf>
    <xf numFmtId="0" fontId="4" fillId="11" borderId="21" xfId="7" applyFont="1" applyFill="1" applyBorder="1" applyAlignment="1">
      <alignment horizontal="center" vertical="center"/>
    </xf>
    <xf numFmtId="0" fontId="5" fillId="3" borderId="35" xfId="7" applyFont="1" applyFill="1" applyBorder="1" applyAlignment="1">
      <alignment horizontal="center" vertical="center"/>
    </xf>
    <xf numFmtId="0" fontId="5" fillId="3" borderId="19" xfId="7" applyFont="1" applyFill="1" applyBorder="1" applyAlignment="1">
      <alignment horizontal="center" vertical="center"/>
    </xf>
    <xf numFmtId="0" fontId="5" fillId="0" borderId="19" xfId="7" applyFont="1" applyBorder="1" applyAlignment="1">
      <alignment horizontal="center" vertical="center"/>
    </xf>
    <xf numFmtId="0" fontId="4" fillId="11" borderId="16" xfId="7" applyFont="1" applyFill="1" applyBorder="1" applyAlignment="1">
      <alignment horizontal="center" vertical="center"/>
    </xf>
    <xf numFmtId="3" fontId="0" fillId="0" borderId="0" xfId="0" applyNumberFormat="1"/>
    <xf numFmtId="0" fontId="36" fillId="3" borderId="0" xfId="0" applyFont="1" applyFill="1" applyAlignment="1">
      <alignment wrapText="1"/>
    </xf>
    <xf numFmtId="3" fontId="5" fillId="0" borderId="35" xfId="2" applyNumberFormat="1" applyFont="1" applyBorder="1" applyAlignment="1">
      <alignment vertical="center"/>
    </xf>
    <xf numFmtId="3" fontId="5" fillId="0" borderId="5" xfId="2" applyNumberFormat="1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3" fontId="5" fillId="0" borderId="25" xfId="7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0" fontId="4" fillId="10" borderId="26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8" fillId="2" borderId="24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10" borderId="48" xfId="0" applyFont="1" applyFill="1" applyBorder="1" applyAlignment="1">
      <alignment horizontal="left" vertical="center" wrapText="1"/>
    </xf>
    <xf numFmtId="0" fontId="4" fillId="10" borderId="22" xfId="0" applyFont="1" applyFill="1" applyBorder="1" applyAlignment="1">
      <alignment horizontal="left" vertical="center" wrapText="1"/>
    </xf>
    <xf numFmtId="0" fontId="4" fillId="10" borderId="28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4" fillId="11" borderId="54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8" fillId="0" borderId="0" xfId="2" applyFont="1" applyAlignment="1">
      <alignment horizontal="right"/>
    </xf>
    <xf numFmtId="0" fontId="10" fillId="10" borderId="21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3" fontId="7" fillId="10" borderId="21" xfId="0" applyNumberFormat="1" applyFont="1" applyFill="1" applyBorder="1" applyAlignment="1">
      <alignment horizontal="center" vertical="center" wrapText="1"/>
    </xf>
    <xf numFmtId="3" fontId="7" fillId="10" borderId="28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4" fillId="10" borderId="48" xfId="0" applyFont="1" applyFill="1" applyBorder="1" applyAlignment="1">
      <alignment horizontal="left" vertical="center" wrapText="1"/>
    </xf>
    <xf numFmtId="0" fontId="24" fillId="10" borderId="22" xfId="0" applyFont="1" applyFill="1" applyBorder="1" applyAlignment="1">
      <alignment horizontal="left" vertical="center" wrapText="1"/>
    </xf>
    <xf numFmtId="0" fontId="24" fillId="10" borderId="28" xfId="0" applyFont="1" applyFill="1" applyBorder="1" applyAlignment="1">
      <alignment horizontal="left" vertical="center" wrapText="1"/>
    </xf>
    <xf numFmtId="0" fontId="24" fillId="10" borderId="14" xfId="0" applyFont="1" applyFill="1" applyBorder="1" applyAlignment="1">
      <alignment horizontal="left" vertical="center" wrapText="1"/>
    </xf>
    <xf numFmtId="0" fontId="24" fillId="10" borderId="8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45" xfId="0" applyNumberFormat="1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8" fillId="11" borderId="15" xfId="0" applyNumberFormat="1" applyFont="1" applyFill="1" applyBorder="1" applyAlignment="1">
      <alignment horizontal="center" vertical="center" wrapText="1"/>
    </xf>
    <xf numFmtId="49" fontId="8" fillId="11" borderId="45" xfId="0" applyNumberFormat="1" applyFont="1" applyFill="1" applyBorder="1" applyAlignment="1">
      <alignment horizontal="center" vertical="center" wrapText="1"/>
    </xf>
    <xf numFmtId="49" fontId="8" fillId="11" borderId="2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49" fontId="15" fillId="2" borderId="2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 wrapText="1"/>
    </xf>
    <xf numFmtId="0" fontId="8" fillId="11" borderId="54" xfId="0" applyFont="1" applyFill="1" applyBorder="1" applyAlignment="1">
      <alignment horizontal="left" vertical="center" wrapText="1"/>
    </xf>
    <xf numFmtId="0" fontId="8" fillId="11" borderId="24" xfId="0" applyFont="1" applyFill="1" applyBorder="1" applyAlignment="1">
      <alignment horizontal="left" vertical="center" wrapText="1"/>
    </xf>
    <xf numFmtId="0" fontId="19" fillId="10" borderId="55" xfId="7" applyFont="1" applyFill="1" applyBorder="1" applyAlignment="1">
      <alignment horizontal="center" vertical="center" shrinkToFit="1"/>
    </xf>
    <xf numFmtId="0" fontId="19" fillId="10" borderId="56" xfId="7" applyFont="1" applyFill="1" applyBorder="1" applyAlignment="1">
      <alignment horizontal="center" vertical="center" shrinkToFit="1"/>
    </xf>
    <xf numFmtId="3" fontId="4" fillId="10" borderId="4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/>
    </xf>
    <xf numFmtId="0" fontId="8" fillId="10" borderId="57" xfId="0" applyFont="1" applyFill="1" applyBorder="1" applyAlignment="1">
      <alignment horizontal="center" vertical="center"/>
    </xf>
    <xf numFmtId="0" fontId="8" fillId="10" borderId="66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 textRotation="90"/>
    </xf>
    <xf numFmtId="0" fontId="8" fillId="10" borderId="13" xfId="0" applyFont="1" applyFill="1" applyBorder="1" applyAlignment="1">
      <alignment horizontal="center" vertical="center" textRotation="90"/>
    </xf>
    <xf numFmtId="0" fontId="8" fillId="10" borderId="14" xfId="0" applyFont="1" applyFill="1" applyBorder="1" applyAlignment="1">
      <alignment horizontal="center" vertical="center" textRotation="90"/>
    </xf>
    <xf numFmtId="0" fontId="4" fillId="10" borderId="2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30" fillId="10" borderId="25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37" fillId="10" borderId="14" xfId="7" applyFont="1" applyFill="1" applyBorder="1" applyAlignment="1">
      <alignment horizontal="center" vertical="center"/>
    </xf>
    <xf numFmtId="0" fontId="37" fillId="10" borderId="8" xfId="7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10" borderId="4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8" fillId="10" borderId="14" xfId="7" applyFont="1" applyFill="1" applyBorder="1" applyAlignment="1">
      <alignment horizontal="center" vertical="center"/>
    </xf>
    <xf numFmtId="0" fontId="8" fillId="10" borderId="8" xfId="7" applyFont="1" applyFill="1" applyBorder="1" applyAlignment="1">
      <alignment horizontal="center" vertical="center"/>
    </xf>
    <xf numFmtId="0" fontId="8" fillId="10" borderId="37" xfId="2" applyFont="1" applyFill="1" applyBorder="1" applyAlignment="1">
      <alignment horizontal="center" vertical="center"/>
    </xf>
    <xf numFmtId="0" fontId="8" fillId="10" borderId="57" xfId="2" applyFont="1" applyFill="1" applyBorder="1" applyAlignment="1">
      <alignment horizontal="center" vertical="center"/>
    </xf>
    <xf numFmtId="0" fontId="8" fillId="10" borderId="66" xfId="2" applyFont="1" applyFill="1" applyBorder="1" applyAlignment="1">
      <alignment horizontal="center" vertical="center"/>
    </xf>
    <xf numFmtId="0" fontId="4" fillId="0" borderId="56" xfId="0" applyFont="1" applyBorder="1" applyAlignment="1">
      <alignment horizontal="right"/>
    </xf>
    <xf numFmtId="0" fontId="19" fillId="10" borderId="37" xfId="7" applyFont="1" applyFill="1" applyBorder="1" applyAlignment="1">
      <alignment horizontal="center" vertical="center" shrinkToFit="1"/>
    </xf>
    <xf numFmtId="0" fontId="19" fillId="10" borderId="57" xfId="7" applyFont="1" applyFill="1" applyBorder="1" applyAlignment="1">
      <alignment horizontal="center" vertical="center" shrinkToFit="1"/>
    </xf>
    <xf numFmtId="0" fontId="19" fillId="10" borderId="58" xfId="7" applyFont="1" applyFill="1" applyBorder="1" applyAlignment="1">
      <alignment horizontal="center" vertical="center" shrinkToFit="1"/>
    </xf>
    <xf numFmtId="0" fontId="19" fillId="10" borderId="51" xfId="7" applyFont="1" applyFill="1" applyBorder="1" applyAlignment="1">
      <alignment horizontal="center" vertical="center" shrinkToFit="1"/>
    </xf>
    <xf numFmtId="0" fontId="19" fillId="10" borderId="0" xfId="7" applyFont="1" applyFill="1" applyAlignment="1">
      <alignment horizontal="center" vertical="center" shrinkToFit="1"/>
    </xf>
    <xf numFmtId="0" fontId="19" fillId="10" borderId="59" xfId="7" applyFont="1" applyFill="1" applyBorder="1" applyAlignment="1">
      <alignment horizontal="center" vertical="center" shrinkToFit="1"/>
    </xf>
    <xf numFmtId="0" fontId="19" fillId="10" borderId="36" xfId="7" applyFont="1" applyFill="1" applyBorder="1" applyAlignment="1">
      <alignment horizontal="center" vertical="center" shrinkToFit="1"/>
    </xf>
    <xf numFmtId="0" fontId="5" fillId="3" borderId="17" xfId="7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/>
    </xf>
    <xf numFmtId="0" fontId="5" fillId="3" borderId="12" xfId="7" applyFont="1" applyFill="1" applyBorder="1" applyAlignment="1">
      <alignment horizontal="center" vertical="center"/>
    </xf>
    <xf numFmtId="0" fontId="5" fillId="3" borderId="38" xfId="7" applyFont="1" applyFill="1" applyBorder="1" applyAlignment="1">
      <alignment horizontal="center" vertical="center" wrapText="1"/>
    </xf>
    <xf numFmtId="0" fontId="5" fillId="3" borderId="45" xfId="7" applyFont="1" applyFill="1" applyBorder="1" applyAlignment="1">
      <alignment horizontal="center" vertical="center" wrapText="1"/>
    </xf>
    <xf numFmtId="0" fontId="5" fillId="3" borderId="26" xfId="7" applyFont="1" applyFill="1" applyBorder="1" applyAlignment="1">
      <alignment horizontal="center" vertical="center" wrapText="1"/>
    </xf>
    <xf numFmtId="0" fontId="13" fillId="3" borderId="38" xfId="2" applyFont="1" applyFill="1" applyBorder="1" applyAlignment="1">
      <alignment horizontal="center" vertical="center"/>
    </xf>
    <xf numFmtId="0" fontId="13" fillId="3" borderId="45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164" fontId="5" fillId="3" borderId="38" xfId="7" applyNumberFormat="1" applyFont="1" applyFill="1" applyBorder="1" applyAlignment="1">
      <alignment horizontal="center" vertical="center"/>
    </xf>
    <xf numFmtId="164" fontId="5" fillId="3" borderId="45" xfId="7" applyNumberFormat="1" applyFont="1" applyFill="1" applyBorder="1" applyAlignment="1">
      <alignment horizontal="center" vertical="center"/>
    </xf>
    <xf numFmtId="164" fontId="5" fillId="3" borderId="26" xfId="7" applyNumberFormat="1" applyFont="1" applyFill="1" applyBorder="1" applyAlignment="1">
      <alignment horizontal="center" vertical="center"/>
    </xf>
    <xf numFmtId="0" fontId="13" fillId="3" borderId="38" xfId="7" applyFont="1" applyFill="1" applyBorder="1" applyAlignment="1">
      <alignment horizontal="center" vertical="center" wrapText="1"/>
    </xf>
    <xf numFmtId="0" fontId="13" fillId="3" borderId="45" xfId="7" applyFont="1" applyFill="1" applyBorder="1" applyAlignment="1">
      <alignment horizontal="center" vertical="center" wrapText="1"/>
    </xf>
    <xf numFmtId="0" fontId="13" fillId="3" borderId="26" xfId="7" applyFont="1" applyFill="1" applyBorder="1" applyAlignment="1">
      <alignment horizontal="center" vertical="center" wrapText="1"/>
    </xf>
    <xf numFmtId="0" fontId="38" fillId="3" borderId="45" xfId="7" applyFont="1" applyFill="1" applyBorder="1" applyAlignment="1">
      <alignment horizontal="center" vertical="center" wrapText="1"/>
    </xf>
    <xf numFmtId="0" fontId="38" fillId="3" borderId="26" xfId="7" applyFont="1" applyFill="1" applyBorder="1" applyAlignment="1">
      <alignment horizontal="center" vertical="center" wrapText="1"/>
    </xf>
    <xf numFmtId="0" fontId="38" fillId="3" borderId="38" xfId="7" applyFont="1" applyFill="1" applyBorder="1" applyAlignment="1">
      <alignment horizontal="center" vertical="center" wrapText="1"/>
    </xf>
    <xf numFmtId="0" fontId="13" fillId="3" borderId="38" xfId="7" applyFont="1" applyFill="1" applyBorder="1" applyAlignment="1">
      <alignment horizontal="center" vertical="center"/>
    </xf>
    <xf numFmtId="0" fontId="13" fillId="3" borderId="45" xfId="7" applyFont="1" applyFill="1" applyBorder="1" applyAlignment="1">
      <alignment horizontal="center" vertical="center"/>
    </xf>
    <xf numFmtId="0" fontId="13" fillId="3" borderId="26" xfId="7" applyFont="1" applyFill="1" applyBorder="1" applyAlignment="1">
      <alignment horizontal="center" vertical="center"/>
    </xf>
    <xf numFmtId="0" fontId="5" fillId="3" borderId="38" xfId="7" applyFont="1" applyFill="1" applyBorder="1" applyAlignment="1">
      <alignment horizontal="center" vertical="center"/>
    </xf>
    <xf numFmtId="0" fontId="5" fillId="3" borderId="45" xfId="7" applyFont="1" applyFill="1" applyBorder="1" applyAlignment="1">
      <alignment horizontal="center" vertical="center"/>
    </xf>
    <xf numFmtId="0" fontId="5" fillId="3" borderId="26" xfId="7" applyFont="1" applyFill="1" applyBorder="1" applyAlignment="1">
      <alignment horizontal="center" vertical="center"/>
    </xf>
    <xf numFmtId="0" fontId="7" fillId="10" borderId="4" xfId="2" applyFont="1" applyFill="1" applyBorder="1" applyAlignment="1">
      <alignment horizontal="center" vertical="center"/>
    </xf>
    <xf numFmtId="0" fontId="7" fillId="10" borderId="8" xfId="2" applyFont="1" applyFill="1" applyBorder="1" applyAlignment="1">
      <alignment horizontal="center" vertical="center"/>
    </xf>
    <xf numFmtId="0" fontId="4" fillId="10" borderId="4" xfId="2" applyFont="1" applyFill="1" applyBorder="1" applyAlignment="1">
      <alignment horizontal="center" vertical="center"/>
    </xf>
    <xf numFmtId="0" fontId="4" fillId="10" borderId="8" xfId="2" applyFont="1" applyFill="1" applyBorder="1" applyAlignment="1">
      <alignment horizontal="center" vertical="center"/>
    </xf>
    <xf numFmtId="3" fontId="4" fillId="10" borderId="4" xfId="2" applyNumberFormat="1" applyFont="1" applyFill="1" applyBorder="1" applyAlignment="1">
      <alignment horizontal="center" vertical="center" wrapText="1"/>
    </xf>
    <xf numFmtId="3" fontId="4" fillId="10" borderId="8" xfId="2" applyNumberFormat="1" applyFont="1" applyFill="1" applyBorder="1" applyAlignment="1">
      <alignment horizontal="center" vertical="center" wrapText="1"/>
    </xf>
    <xf numFmtId="3" fontId="7" fillId="10" borderId="4" xfId="2" applyNumberFormat="1" applyFont="1" applyFill="1" applyBorder="1" applyAlignment="1">
      <alignment horizontal="center" vertical="center" wrapText="1"/>
    </xf>
    <xf numFmtId="3" fontId="7" fillId="10" borderId="8" xfId="2" applyNumberFormat="1" applyFont="1" applyFill="1" applyBorder="1" applyAlignment="1">
      <alignment horizontal="center" vertical="center" wrapText="1"/>
    </xf>
    <xf numFmtId="0" fontId="23" fillId="0" borderId="57" xfId="2" applyFont="1" applyBorder="1" applyAlignment="1">
      <alignment horizontal="left"/>
    </xf>
    <xf numFmtId="0" fontId="8" fillId="10" borderId="30" xfId="2" applyFont="1" applyFill="1" applyBorder="1" applyAlignment="1">
      <alignment horizontal="center" vertical="center" textRotation="90"/>
    </xf>
    <xf numFmtId="0" fontId="8" fillId="10" borderId="13" xfId="2" applyFont="1" applyFill="1" applyBorder="1" applyAlignment="1">
      <alignment horizontal="center" vertical="center" textRotation="90"/>
    </xf>
    <xf numFmtId="0" fontId="8" fillId="10" borderId="14" xfId="2" applyFont="1" applyFill="1" applyBorder="1" applyAlignment="1">
      <alignment horizontal="center" vertical="center" textRotation="90"/>
    </xf>
    <xf numFmtId="0" fontId="4" fillId="10" borderId="25" xfId="2" applyFont="1" applyFill="1" applyBorder="1" applyAlignment="1">
      <alignment horizontal="center" vertical="center"/>
    </xf>
    <xf numFmtId="0" fontId="30" fillId="10" borderId="25" xfId="2" applyFont="1" applyFill="1" applyBorder="1" applyAlignment="1">
      <alignment horizontal="center"/>
    </xf>
    <xf numFmtId="0" fontId="30" fillId="10" borderId="18" xfId="2" applyFont="1" applyFill="1" applyBorder="1" applyAlignment="1">
      <alignment horizontal="center"/>
    </xf>
    <xf numFmtId="0" fontId="4" fillId="10" borderId="7" xfId="2" applyFont="1" applyFill="1" applyBorder="1" applyAlignment="1">
      <alignment horizontal="center" vertical="center"/>
    </xf>
    <xf numFmtId="0" fontId="4" fillId="10" borderId="11" xfId="2" applyFont="1" applyFill="1" applyBorder="1" applyAlignment="1">
      <alignment horizontal="center" vertical="center"/>
    </xf>
    <xf numFmtId="0" fontId="13" fillId="0" borderId="38" xfId="7" applyFont="1" applyBorder="1" applyAlignment="1">
      <alignment horizontal="center" vertical="center" wrapText="1"/>
    </xf>
    <xf numFmtId="0" fontId="13" fillId="0" borderId="45" xfId="7" applyFont="1" applyBorder="1" applyAlignment="1">
      <alignment horizontal="center" vertical="center" wrapText="1"/>
    </xf>
    <xf numFmtId="0" fontId="13" fillId="0" borderId="26" xfId="7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3" fontId="30" fillId="10" borderId="25" xfId="2" applyNumberFormat="1" applyFont="1" applyFill="1" applyBorder="1" applyAlignment="1">
      <alignment horizontal="center" vertical="center" wrapText="1"/>
    </xf>
    <xf numFmtId="3" fontId="30" fillId="10" borderId="18" xfId="2" applyNumberFormat="1" applyFont="1" applyFill="1" applyBorder="1" applyAlignment="1">
      <alignment horizontal="center" vertical="center" wrapText="1"/>
    </xf>
    <xf numFmtId="3" fontId="4" fillId="10" borderId="7" xfId="2" applyNumberFormat="1" applyFont="1" applyFill="1" applyBorder="1" applyAlignment="1">
      <alignment horizontal="center" vertical="center" wrapText="1"/>
    </xf>
    <xf numFmtId="0" fontId="24" fillId="10" borderId="4" xfId="2" applyFont="1" applyFill="1" applyBorder="1" applyAlignment="1">
      <alignment horizontal="center" vertical="center"/>
    </xf>
    <xf numFmtId="0" fontId="24" fillId="10" borderId="8" xfId="2" applyFont="1" applyFill="1" applyBorder="1" applyAlignment="1">
      <alignment horizontal="center" vertical="center"/>
    </xf>
    <xf numFmtId="0" fontId="4" fillId="10" borderId="55" xfId="2" applyFont="1" applyFill="1" applyBorder="1" applyAlignment="1">
      <alignment horizontal="center" vertical="center" shrinkToFit="1"/>
    </xf>
    <xf numFmtId="0" fontId="4" fillId="10" borderId="36" xfId="2" applyFont="1" applyFill="1" applyBorder="1" applyAlignment="1">
      <alignment horizontal="center" vertical="center" shrinkToFit="1"/>
    </xf>
    <xf numFmtId="0" fontId="7" fillId="10" borderId="17" xfId="2" applyFont="1" applyFill="1" applyBorder="1" applyAlignment="1">
      <alignment horizontal="center" textRotation="90"/>
    </xf>
    <xf numFmtId="0" fontId="6" fillId="10" borderId="2" xfId="2" applyFont="1" applyFill="1" applyBorder="1" applyAlignment="1">
      <alignment textRotation="90"/>
    </xf>
    <xf numFmtId="0" fontId="4" fillId="10" borderId="63" xfId="2" applyFont="1" applyFill="1" applyBorder="1" applyAlignment="1">
      <alignment horizontal="center" vertical="center" shrinkToFit="1"/>
    </xf>
    <xf numFmtId="0" fontId="5" fillId="10" borderId="33" xfId="2" applyFont="1" applyFill="1" applyBorder="1" applyAlignment="1">
      <alignment horizontal="center" vertical="center" shrinkToFit="1"/>
    </xf>
    <xf numFmtId="0" fontId="32" fillId="10" borderId="38" xfId="2" applyFont="1" applyFill="1" applyBorder="1" applyAlignment="1">
      <alignment horizontal="center" vertical="center" wrapText="1"/>
    </xf>
    <xf numFmtId="0" fontId="32" fillId="10" borderId="45" xfId="2" applyFont="1" applyFill="1" applyBorder="1" applyAlignment="1">
      <alignment horizontal="center" vertical="center" wrapText="1"/>
    </xf>
    <xf numFmtId="0" fontId="24" fillId="10" borderId="38" xfId="2" applyFont="1" applyFill="1" applyBorder="1" applyAlignment="1">
      <alignment horizontal="center" vertical="center" wrapText="1"/>
    </xf>
    <xf numFmtId="0" fontId="24" fillId="10" borderId="45" xfId="2" applyFont="1" applyFill="1" applyBorder="1" applyAlignment="1">
      <alignment horizontal="center" vertical="center" wrapText="1"/>
    </xf>
    <xf numFmtId="0" fontId="4" fillId="10" borderId="39" xfId="2" applyFont="1" applyFill="1" applyBorder="1" applyAlignment="1">
      <alignment horizontal="center" vertical="center" wrapText="1"/>
    </xf>
    <xf numFmtId="0" fontId="4" fillId="10" borderId="6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6" fillId="10" borderId="12" xfId="2" applyFont="1" applyFill="1" applyBorder="1" applyAlignment="1">
      <alignment textRotation="90"/>
    </xf>
    <xf numFmtId="0" fontId="5" fillId="10" borderId="65" xfId="2" applyFont="1" applyFill="1" applyBorder="1" applyAlignment="1">
      <alignment horizontal="center" vertical="center" shrinkToFit="1"/>
    </xf>
    <xf numFmtId="0" fontId="4" fillId="10" borderId="55" xfId="2" applyFont="1" applyFill="1" applyBorder="1" applyAlignment="1">
      <alignment horizontal="center" vertical="center"/>
    </xf>
    <xf numFmtId="0" fontId="4" fillId="10" borderId="56" xfId="2" applyFont="1" applyFill="1" applyBorder="1" applyAlignment="1">
      <alignment horizontal="center" vertical="center"/>
    </xf>
    <xf numFmtId="0" fontId="4" fillId="7" borderId="46" xfId="2" applyFont="1" applyFill="1" applyBorder="1" applyAlignment="1">
      <alignment horizontal="center" vertical="center"/>
    </xf>
    <xf numFmtId="0" fontId="4" fillId="7" borderId="47" xfId="2" applyFont="1" applyFill="1" applyBorder="1" applyAlignment="1">
      <alignment horizontal="center" vertical="center"/>
    </xf>
    <xf numFmtId="0" fontId="4" fillId="7" borderId="32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7" borderId="48" xfId="2" applyFont="1" applyFill="1" applyBorder="1" applyAlignment="1">
      <alignment horizontal="center" vertical="center"/>
    </xf>
    <xf numFmtId="0" fontId="4" fillId="7" borderId="22" xfId="2" applyFont="1" applyFill="1" applyBorder="1" applyAlignment="1">
      <alignment horizontal="center" vertical="center"/>
    </xf>
    <xf numFmtId="0" fontId="28" fillId="0" borderId="64" xfId="2" applyFont="1" applyBorder="1" applyAlignment="1">
      <alignment horizontal="center" vertical="center"/>
    </xf>
    <xf numFmtId="0" fontId="28" fillId="0" borderId="54" xfId="2" applyFont="1" applyBorder="1" applyAlignment="1">
      <alignment horizontal="center" vertical="center"/>
    </xf>
    <xf numFmtId="0" fontId="28" fillId="0" borderId="50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4" fillId="7" borderId="13" xfId="2" applyFont="1" applyFill="1" applyBorder="1" applyAlignment="1">
      <alignment horizontal="center" vertical="center" shrinkToFit="1"/>
    </xf>
    <xf numFmtId="0" fontId="4" fillId="7" borderId="4" xfId="2" applyFont="1" applyFill="1" applyBorder="1" applyAlignment="1">
      <alignment horizontal="center" vertical="center" shrinkToFit="1"/>
    </xf>
    <xf numFmtId="0" fontId="19" fillId="10" borderId="61" xfId="7" applyFont="1" applyFill="1" applyBorder="1" applyAlignment="1">
      <alignment horizontal="center" vertical="center" shrinkToFit="1"/>
    </xf>
    <xf numFmtId="0" fontId="19" fillId="10" borderId="62" xfId="7" applyFont="1" applyFill="1" applyBorder="1" applyAlignment="1">
      <alignment horizontal="center" vertical="center" shrinkToFit="1"/>
    </xf>
    <xf numFmtId="0" fontId="4" fillId="10" borderId="4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6" fontId="4" fillId="10" borderId="48" xfId="7" applyNumberFormat="1" applyFont="1" applyFill="1" applyBorder="1" applyAlignment="1">
      <alignment horizontal="center" vertical="center"/>
    </xf>
    <xf numFmtId="16" fontId="4" fillId="10" borderId="28" xfId="7" applyNumberFormat="1" applyFont="1" applyFill="1" applyBorder="1" applyAlignment="1">
      <alignment horizontal="center" vertical="center"/>
    </xf>
    <xf numFmtId="16" fontId="4" fillId="10" borderId="53" xfId="7" applyNumberFormat="1" applyFont="1" applyFill="1" applyBorder="1" applyAlignment="1">
      <alignment horizontal="center" vertical="center"/>
    </xf>
    <xf numFmtId="16" fontId="4" fillId="10" borderId="42" xfId="7" applyNumberFormat="1" applyFont="1" applyFill="1" applyBorder="1" applyAlignment="1">
      <alignment horizontal="center" vertical="center"/>
    </xf>
    <xf numFmtId="16" fontId="4" fillId="10" borderId="44" xfId="7" applyNumberFormat="1" applyFont="1" applyFill="1" applyBorder="1" applyAlignment="1">
      <alignment horizontal="center" vertical="center"/>
    </xf>
    <xf numFmtId="16" fontId="4" fillId="10" borderId="49" xfId="7" applyNumberFormat="1" applyFont="1" applyFill="1" applyBorder="1" applyAlignment="1">
      <alignment horizontal="center" vertical="center"/>
    </xf>
    <xf numFmtId="16" fontId="4" fillId="10" borderId="29" xfId="7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3" fontId="23" fillId="3" borderId="38" xfId="0" applyNumberFormat="1" applyFont="1" applyFill="1" applyBorder="1" applyAlignment="1">
      <alignment horizontal="right" vertical="center"/>
    </xf>
    <xf numFmtId="3" fontId="23" fillId="3" borderId="45" xfId="0" applyNumberFormat="1" applyFont="1" applyFill="1" applyBorder="1" applyAlignment="1">
      <alignment horizontal="right" vertical="center"/>
    </xf>
    <xf numFmtId="3" fontId="23" fillId="3" borderId="26" xfId="0" applyNumberFormat="1" applyFont="1" applyFill="1" applyBorder="1" applyAlignment="1">
      <alignment horizontal="right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3" fontId="24" fillId="8" borderId="38" xfId="0" applyNumberFormat="1" applyFont="1" applyFill="1" applyBorder="1" applyAlignment="1">
      <alignment horizontal="right" vertical="center"/>
    </xf>
    <xf numFmtId="3" fontId="24" fillId="8" borderId="45" xfId="0" applyNumberFormat="1" applyFont="1" applyFill="1" applyBorder="1" applyAlignment="1">
      <alignment horizontal="right" vertical="center"/>
    </xf>
    <xf numFmtId="3" fontId="24" fillId="8" borderId="26" xfId="0" applyNumberFormat="1" applyFont="1" applyFill="1" applyBorder="1" applyAlignment="1">
      <alignment horizontal="right" vertical="center"/>
    </xf>
    <xf numFmtId="3" fontId="4" fillId="8" borderId="37" xfId="0" applyNumberFormat="1" applyFont="1" applyFill="1" applyBorder="1" applyAlignment="1">
      <alignment horizontal="center" vertical="center" wrapText="1"/>
    </xf>
    <xf numFmtId="3" fontId="4" fillId="8" borderId="58" xfId="0" applyNumberFormat="1" applyFont="1" applyFill="1" applyBorder="1" applyAlignment="1">
      <alignment horizontal="center" vertical="center" wrapText="1"/>
    </xf>
    <xf numFmtId="3" fontId="4" fillId="8" borderId="51" xfId="0" applyNumberFormat="1" applyFont="1" applyFill="1" applyBorder="1" applyAlignment="1">
      <alignment horizontal="center" vertical="center" wrapText="1"/>
    </xf>
    <xf numFmtId="3" fontId="4" fillId="8" borderId="59" xfId="0" applyNumberFormat="1" applyFont="1" applyFill="1" applyBorder="1" applyAlignment="1">
      <alignment horizontal="center" vertical="center" wrapText="1"/>
    </xf>
    <xf numFmtId="3" fontId="4" fillId="8" borderId="55" xfId="0" applyNumberFormat="1" applyFont="1" applyFill="1" applyBorder="1" applyAlignment="1">
      <alignment horizontal="center" vertical="center" wrapText="1"/>
    </xf>
    <xf numFmtId="3" fontId="4" fillId="8" borderId="36" xfId="0" applyNumberFormat="1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0" fontId="30" fillId="9" borderId="57" xfId="0" applyFont="1" applyFill="1" applyBorder="1" applyAlignment="1">
      <alignment horizontal="center" vertical="center" wrapText="1"/>
    </xf>
    <xf numFmtId="0" fontId="30" fillId="9" borderId="66" xfId="0" applyFont="1" applyFill="1" applyBorder="1" applyAlignment="1">
      <alignment horizontal="center" vertical="center" wrapText="1"/>
    </xf>
    <xf numFmtId="3" fontId="4" fillId="10" borderId="37" xfId="0" applyNumberFormat="1" applyFont="1" applyFill="1" applyBorder="1" applyAlignment="1">
      <alignment horizontal="center" vertical="center" wrapText="1"/>
    </xf>
    <xf numFmtId="3" fontId="4" fillId="10" borderId="58" xfId="0" applyNumberFormat="1" applyFont="1" applyFill="1" applyBorder="1" applyAlignment="1">
      <alignment horizontal="center" vertical="center" wrapText="1"/>
    </xf>
    <xf numFmtId="3" fontId="4" fillId="10" borderId="51" xfId="0" applyNumberFormat="1" applyFont="1" applyFill="1" applyBorder="1" applyAlignment="1">
      <alignment horizontal="center" vertical="center" wrapText="1"/>
    </xf>
    <xf numFmtId="3" fontId="4" fillId="10" borderId="59" xfId="0" applyNumberFormat="1" applyFont="1" applyFill="1" applyBorder="1" applyAlignment="1">
      <alignment horizontal="center" vertical="center" wrapText="1"/>
    </xf>
    <xf numFmtId="3" fontId="4" fillId="10" borderId="55" xfId="0" applyNumberFormat="1" applyFont="1" applyFill="1" applyBorder="1" applyAlignment="1">
      <alignment horizontal="center" vertical="center" wrapText="1"/>
    </xf>
    <xf numFmtId="3" fontId="4" fillId="10" borderId="36" xfId="0" applyNumberFormat="1" applyFont="1" applyFill="1" applyBorder="1" applyAlignment="1">
      <alignment horizontal="center" vertical="center" wrapText="1"/>
    </xf>
    <xf numFmtId="3" fontId="24" fillId="10" borderId="38" xfId="0" applyNumberFormat="1" applyFont="1" applyFill="1" applyBorder="1" applyAlignment="1">
      <alignment horizontal="right" vertical="center"/>
    </xf>
    <xf numFmtId="3" fontId="24" fillId="10" borderId="45" xfId="0" applyNumberFormat="1" applyFont="1" applyFill="1" applyBorder="1" applyAlignment="1">
      <alignment horizontal="right" vertical="center"/>
    </xf>
    <xf numFmtId="3" fontId="24" fillId="10" borderId="26" xfId="0" applyNumberFormat="1" applyFont="1" applyFill="1" applyBorder="1" applyAlignment="1">
      <alignment horizontal="right" vertical="center"/>
    </xf>
    <xf numFmtId="3" fontId="4" fillId="9" borderId="37" xfId="0" applyNumberFormat="1" applyFont="1" applyFill="1" applyBorder="1" applyAlignment="1">
      <alignment horizontal="center" vertical="center" wrapText="1"/>
    </xf>
    <xf numFmtId="3" fontId="4" fillId="9" borderId="58" xfId="0" applyNumberFormat="1" applyFont="1" applyFill="1" applyBorder="1" applyAlignment="1">
      <alignment horizontal="center" vertical="center" wrapText="1"/>
    </xf>
    <xf numFmtId="3" fontId="4" fillId="9" borderId="51" xfId="0" applyNumberFormat="1" applyFont="1" applyFill="1" applyBorder="1" applyAlignment="1">
      <alignment horizontal="center" vertical="center" wrapText="1"/>
    </xf>
    <xf numFmtId="3" fontId="4" fillId="9" borderId="59" xfId="0" applyNumberFormat="1" applyFont="1" applyFill="1" applyBorder="1" applyAlignment="1">
      <alignment horizontal="center" vertical="center" wrapText="1"/>
    </xf>
    <xf numFmtId="3" fontId="4" fillId="9" borderId="55" xfId="0" applyNumberFormat="1" applyFont="1" applyFill="1" applyBorder="1" applyAlignment="1">
      <alignment horizontal="center" vertical="center" wrapText="1"/>
    </xf>
    <xf numFmtId="3" fontId="4" fillId="9" borderId="36" xfId="0" applyNumberFormat="1" applyFont="1" applyFill="1" applyBorder="1" applyAlignment="1">
      <alignment horizontal="center" vertical="center" wrapText="1"/>
    </xf>
    <xf numFmtId="3" fontId="24" fillId="9" borderId="38" xfId="0" applyNumberFormat="1" applyFont="1" applyFill="1" applyBorder="1" applyAlignment="1">
      <alignment horizontal="right" vertical="center"/>
    </xf>
    <xf numFmtId="3" fontId="24" fillId="9" borderId="45" xfId="0" applyNumberFormat="1" applyFont="1" applyFill="1" applyBorder="1" applyAlignment="1">
      <alignment horizontal="right" vertical="center"/>
    </xf>
    <xf numFmtId="3" fontId="24" fillId="9" borderId="26" xfId="0" applyNumberFormat="1" applyFont="1" applyFill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right" vertical="center"/>
    </xf>
    <xf numFmtId="3" fontId="23" fillId="0" borderId="4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36" fillId="0" borderId="0" xfId="2" applyFont="1" applyAlignment="1">
      <alignment horizontal="center"/>
    </xf>
    <xf numFmtId="0" fontId="4" fillId="0" borderId="56" xfId="2" applyFont="1" applyBorder="1" applyAlignment="1">
      <alignment horizontal="right"/>
    </xf>
    <xf numFmtId="0" fontId="34" fillId="0" borderId="0" xfId="2" applyFont="1" applyAlignment="1">
      <alignment horizontal="center"/>
    </xf>
    <xf numFmtId="3" fontId="5" fillId="3" borderId="58" xfId="0" applyNumberFormat="1" applyFont="1" applyFill="1" applyBorder="1" applyAlignment="1">
      <alignment horizontal="center" vertical="center" wrapText="1"/>
    </xf>
    <xf numFmtId="3" fontId="5" fillId="3" borderId="59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0" fontId="4" fillId="10" borderId="35" xfId="2" applyFont="1" applyFill="1" applyBorder="1" applyAlignment="1">
      <alignment horizontal="center" vertical="center" wrapText="1"/>
    </xf>
    <xf numFmtId="0" fontId="4" fillId="10" borderId="47" xfId="2" applyFont="1" applyFill="1" applyBorder="1" applyAlignment="1">
      <alignment horizontal="center" vertical="center" wrapText="1"/>
    </xf>
    <xf numFmtId="0" fontId="4" fillId="10" borderId="32" xfId="2" applyFont="1" applyFill="1" applyBorder="1" applyAlignment="1">
      <alignment horizontal="center" vertical="center" wrapText="1"/>
    </xf>
    <xf numFmtId="0" fontId="30" fillId="6" borderId="46" xfId="0" applyFont="1" applyFill="1" applyBorder="1" applyAlignment="1">
      <alignment horizontal="center" vertical="center" wrapText="1"/>
    </xf>
    <xf numFmtId="0" fontId="30" fillId="6" borderId="57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30" fillId="6" borderId="32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 wrapText="1"/>
    </xf>
    <xf numFmtId="3" fontId="23" fillId="3" borderId="15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center"/>
    </xf>
    <xf numFmtId="3" fontId="4" fillId="3" borderId="3" xfId="0" applyNumberFormat="1" applyFont="1" applyFill="1" applyBorder="1" applyAlignment="1">
      <alignment horizontal="center" vertical="center"/>
    </xf>
    <xf numFmtId="0" fontId="43" fillId="3" borderId="25" xfId="7" applyFont="1" applyFill="1" applyBorder="1" applyAlignment="1">
      <alignment horizontal="center" vertical="center" wrapText="1"/>
    </xf>
    <xf numFmtId="0" fontId="43" fillId="3" borderId="4" xfId="7" applyFont="1" applyFill="1" applyBorder="1" applyAlignment="1">
      <alignment horizontal="center" vertical="center" wrapText="1"/>
    </xf>
    <xf numFmtId="0" fontId="43" fillId="3" borderId="8" xfId="7" applyFont="1" applyFill="1" applyBorder="1" applyAlignment="1">
      <alignment horizontal="center" vertical="center" wrapText="1"/>
    </xf>
    <xf numFmtId="0" fontId="13" fillId="3" borderId="25" xfId="7" applyFont="1" applyFill="1" applyBorder="1" applyAlignment="1">
      <alignment horizontal="center" vertical="center" wrapText="1"/>
    </xf>
    <xf numFmtId="0" fontId="13" fillId="3" borderId="4" xfId="7" applyFont="1" applyFill="1" applyBorder="1" applyAlignment="1">
      <alignment horizontal="center" vertical="center" wrapText="1"/>
    </xf>
    <xf numFmtId="0" fontId="13" fillId="3" borderId="8" xfId="7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right" vertical="center"/>
    </xf>
    <xf numFmtId="3" fontId="5" fillId="3" borderId="45" xfId="0" applyNumberFormat="1" applyFont="1" applyFill="1" applyBorder="1" applyAlignment="1">
      <alignment horizontal="right" vertical="center"/>
    </xf>
    <xf numFmtId="3" fontId="5" fillId="3" borderId="26" xfId="0" applyNumberFormat="1" applyFont="1" applyFill="1" applyBorder="1" applyAlignment="1">
      <alignment horizontal="right" vertical="center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wrapText="1"/>
    </xf>
    <xf numFmtId="0" fontId="5" fillId="3" borderId="27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5" fillId="3" borderId="8" xfId="7" applyFont="1" applyFill="1" applyBorder="1" applyAlignment="1">
      <alignment horizontal="center" vertical="center" wrapText="1"/>
    </xf>
    <xf numFmtId="0" fontId="6" fillId="3" borderId="38" xfId="7" applyFont="1" applyFill="1" applyBorder="1" applyAlignment="1">
      <alignment horizontal="center" vertical="center" wrapText="1"/>
    </xf>
    <xf numFmtId="0" fontId="6" fillId="3" borderId="45" xfId="7" applyFont="1" applyFill="1" applyBorder="1" applyAlignment="1">
      <alignment horizontal="center" vertical="center" wrapText="1"/>
    </xf>
    <xf numFmtId="0" fontId="6" fillId="3" borderId="26" xfId="7" applyFont="1" applyFill="1" applyBorder="1" applyAlignment="1">
      <alignment horizontal="center" vertical="center" wrapText="1"/>
    </xf>
    <xf numFmtId="0" fontId="5" fillId="3" borderId="25" xfId="7" applyFont="1" applyFill="1" applyBorder="1" applyAlignment="1">
      <alignment horizontal="center" vertical="center" wrapText="1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colors>
    <mruColors>
      <color rgb="FF00FF99"/>
      <color rgb="FFF9B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Q72"/>
  <sheetViews>
    <sheetView tabSelected="1" zoomScaleNormal="100" workbookViewId="0">
      <selection activeCell="S14" sqref="S14"/>
    </sheetView>
  </sheetViews>
  <sheetFormatPr defaultRowHeight="12.75" x14ac:dyDescent="0.2"/>
  <cols>
    <col min="1" max="1" width="5.5703125" style="15" customWidth="1"/>
    <col min="2" max="2" width="4.28515625" style="15" customWidth="1"/>
    <col min="3" max="3" width="3.7109375" style="3" customWidth="1"/>
    <col min="4" max="4" width="37.7109375" style="3" customWidth="1"/>
    <col min="5" max="5" width="14.42578125" style="5" customWidth="1"/>
    <col min="6" max="6" width="14.7109375" style="5" customWidth="1"/>
    <col min="7" max="7" width="14.140625" style="5" customWidth="1"/>
    <col min="8" max="8" width="7.7109375" style="5" customWidth="1"/>
    <col min="9" max="9" width="6.5703125" style="11" customWidth="1"/>
    <col min="10" max="10" width="4.28515625" style="11" customWidth="1"/>
    <col min="11" max="11" width="3.7109375" style="11" customWidth="1"/>
    <col min="12" max="12" width="37.7109375" style="3" customWidth="1"/>
    <col min="13" max="13" width="14.28515625" style="5" customWidth="1"/>
    <col min="14" max="15" width="14.42578125" style="5" customWidth="1"/>
    <col min="16" max="16" width="7.7109375" style="5" customWidth="1"/>
    <col min="17" max="16384" width="9.140625" style="3"/>
  </cols>
  <sheetData>
    <row r="1" spans="1:17" ht="14.25" x14ac:dyDescent="0.2">
      <c r="L1" s="493" t="s">
        <v>255</v>
      </c>
      <c r="M1" s="493"/>
      <c r="N1" s="493"/>
      <c r="O1" s="493"/>
      <c r="P1" s="493"/>
    </row>
    <row r="2" spans="1:17" ht="14.25" x14ac:dyDescent="0.2">
      <c r="L2" s="493"/>
      <c r="M2" s="493"/>
      <c r="N2" s="493"/>
      <c r="O2" s="493"/>
      <c r="P2" s="493"/>
    </row>
    <row r="3" spans="1:17" ht="15.95" customHeight="1" x14ac:dyDescent="0.25">
      <c r="A3" s="551" t="s">
        <v>238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3" t="s">
        <v>33</v>
      </c>
    </row>
    <row r="4" spans="1:17" ht="15.95" customHeight="1" x14ac:dyDescent="0.25">
      <c r="A4" s="551" t="s">
        <v>30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7" ht="15.95" customHeight="1" x14ac:dyDescent="0.25">
      <c r="A5" s="551" t="s">
        <v>44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</row>
    <row r="6" spans="1:17" ht="15.95" customHeight="1" x14ac:dyDescent="0.25">
      <c r="A6" s="551" t="s">
        <v>257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</row>
    <row r="7" spans="1:17" ht="15.95" customHeight="1" x14ac:dyDescent="0.25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</row>
    <row r="8" spans="1:17" ht="15.95" customHeight="1" thickBot="1" x14ac:dyDescent="0.35">
      <c r="D8" s="463"/>
      <c r="E8" s="463"/>
      <c r="F8" s="463"/>
      <c r="G8" s="463"/>
      <c r="H8" s="463"/>
      <c r="I8" s="463"/>
      <c r="J8" s="463"/>
      <c r="K8" s="463"/>
      <c r="L8" s="463"/>
      <c r="O8" s="3"/>
      <c r="P8" s="198" t="s">
        <v>201</v>
      </c>
    </row>
    <row r="9" spans="1:17" s="6" customFormat="1" ht="21.95" customHeight="1" x14ac:dyDescent="0.2">
      <c r="A9" s="505" t="s">
        <v>42</v>
      </c>
      <c r="B9" s="506"/>
      <c r="C9" s="506"/>
      <c r="D9" s="506"/>
      <c r="E9" s="506"/>
      <c r="F9" s="506"/>
      <c r="G9" s="506"/>
      <c r="H9" s="507"/>
      <c r="I9" s="505" t="s">
        <v>43</v>
      </c>
      <c r="J9" s="506"/>
      <c r="K9" s="506"/>
      <c r="L9" s="506"/>
      <c r="M9" s="506"/>
      <c r="N9" s="506"/>
      <c r="O9" s="506"/>
      <c r="P9" s="507"/>
    </row>
    <row r="10" spans="1:17" s="6" customFormat="1" ht="59.25" customHeight="1" thickBot="1" x14ac:dyDescent="0.25">
      <c r="A10" s="321" t="s">
        <v>83</v>
      </c>
      <c r="B10" s="322" t="s">
        <v>84</v>
      </c>
      <c r="C10" s="494"/>
      <c r="D10" s="495"/>
      <c r="E10" s="320" t="s">
        <v>213</v>
      </c>
      <c r="F10" s="323" t="s">
        <v>266</v>
      </c>
      <c r="G10" s="320" t="s">
        <v>267</v>
      </c>
      <c r="H10" s="343" t="s">
        <v>203</v>
      </c>
      <c r="I10" s="321" t="s">
        <v>83</v>
      </c>
      <c r="J10" s="322" t="s">
        <v>84</v>
      </c>
      <c r="K10" s="496"/>
      <c r="L10" s="497"/>
      <c r="M10" s="320" t="s">
        <v>213</v>
      </c>
      <c r="N10" s="323" t="s">
        <v>266</v>
      </c>
      <c r="O10" s="320" t="s">
        <v>267</v>
      </c>
      <c r="P10" s="324" t="s">
        <v>203</v>
      </c>
    </row>
    <row r="11" spans="1:17" s="1" customFormat="1" ht="18" customHeight="1" x14ac:dyDescent="0.2">
      <c r="A11" s="487" t="s">
        <v>41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9"/>
    </row>
    <row r="12" spans="1:17" s="2" customFormat="1" ht="18" customHeight="1" x14ac:dyDescent="0.2">
      <c r="A12" s="37" t="s">
        <v>0</v>
      </c>
      <c r="B12" s="548" t="s">
        <v>40</v>
      </c>
      <c r="C12" s="549"/>
      <c r="D12" s="550"/>
      <c r="E12" s="233">
        <f>+E13+E17+E21+E25</f>
        <v>1095723268</v>
      </c>
      <c r="F12" s="233">
        <f>+F13+F17+F21+F25</f>
        <v>1113614223</v>
      </c>
      <c r="G12" s="230">
        <f>+G13+G17+G21+G25</f>
        <v>905339232</v>
      </c>
      <c r="H12" s="175">
        <f>+G12/F12*100</f>
        <v>81.297384076244867</v>
      </c>
      <c r="I12" s="38" t="s">
        <v>0</v>
      </c>
      <c r="J12" s="502" t="s">
        <v>20</v>
      </c>
      <c r="K12" s="503"/>
      <c r="L12" s="504"/>
      <c r="M12" s="237">
        <f>+M13+M17+M21+M29</f>
        <v>1007203197</v>
      </c>
      <c r="N12" s="237">
        <f>+N13+N17+N21+N29</f>
        <v>1630407035</v>
      </c>
      <c r="O12" s="230">
        <f>+O13+O17+O21+O29</f>
        <v>1017296021</v>
      </c>
      <c r="P12" s="155">
        <f>+O12/N12*100</f>
        <v>62.395217829761137</v>
      </c>
    </row>
    <row r="13" spans="1:17" s="1" customFormat="1" ht="18" customHeight="1" x14ac:dyDescent="0.2">
      <c r="A13" s="17"/>
      <c r="B13" s="482" t="s">
        <v>54</v>
      </c>
      <c r="C13" s="533" t="s">
        <v>206</v>
      </c>
      <c r="D13" s="534"/>
      <c r="E13" s="176">
        <f>+E14+E15+E16</f>
        <v>987695801</v>
      </c>
      <c r="F13" s="176">
        <f>+F14+F15+F16</f>
        <v>971573234</v>
      </c>
      <c r="G13" s="156">
        <f>+G14+G15+G16</f>
        <v>845978615</v>
      </c>
      <c r="H13" s="175">
        <f t="shared" ref="H13:H26" si="0">+G13/F13*100</f>
        <v>87.073067206377985</v>
      </c>
      <c r="I13" s="13"/>
      <c r="J13" s="479" t="s">
        <v>49</v>
      </c>
      <c r="K13" s="498" t="s">
        <v>16</v>
      </c>
      <c r="L13" s="498"/>
      <c r="M13" s="156">
        <f>+M14+M15+M16</f>
        <v>464389859</v>
      </c>
      <c r="N13" s="156">
        <f>+N14+N15+N16</f>
        <v>684793045</v>
      </c>
      <c r="O13" s="156">
        <f>+O14+O15+O16</f>
        <v>609509374</v>
      </c>
      <c r="P13" s="155">
        <f>+O13/N13*100</f>
        <v>89.006361622729386</v>
      </c>
    </row>
    <row r="14" spans="1:17" s="1" customFormat="1" ht="18" customHeight="1" x14ac:dyDescent="0.2">
      <c r="A14" s="17"/>
      <c r="B14" s="483"/>
      <c r="C14" s="19" t="s">
        <v>1</v>
      </c>
      <c r="D14" s="20" t="s">
        <v>10</v>
      </c>
      <c r="E14" s="234">
        <f>+'2.'!E14+'3.'!E14</f>
        <v>987695801</v>
      </c>
      <c r="F14" s="234">
        <f>+'2.'!F14+'3.'!F14</f>
        <v>971573234</v>
      </c>
      <c r="G14" s="235">
        <f>+'2.'!G14+'3.'!G14</f>
        <v>845978615</v>
      </c>
      <c r="H14" s="178">
        <f t="shared" si="0"/>
        <v>87.073067206377985</v>
      </c>
      <c r="I14" s="13"/>
      <c r="J14" s="480"/>
      <c r="K14" s="19" t="s">
        <v>1</v>
      </c>
      <c r="L14" s="20" t="s">
        <v>10</v>
      </c>
      <c r="M14" s="235">
        <f>+'2.'!M14+'3.'!M14</f>
        <v>463614769</v>
      </c>
      <c r="N14" s="235">
        <f>+'2.'!N14+'3.'!N14</f>
        <v>680940995</v>
      </c>
      <c r="O14" s="235">
        <f>+'2.'!O14+'3.'!O14</f>
        <v>606868024</v>
      </c>
      <c r="P14" s="160">
        <f t="shared" ref="P14:P37" si="1">+O14/N14*100</f>
        <v>89.12196922436722</v>
      </c>
    </row>
    <row r="15" spans="1:17" s="1" customFormat="1" ht="18" customHeight="1" x14ac:dyDescent="0.2">
      <c r="A15" s="17"/>
      <c r="B15" s="483"/>
      <c r="C15" s="19" t="s">
        <v>2</v>
      </c>
      <c r="D15" s="20" t="s">
        <v>12</v>
      </c>
      <c r="E15" s="234">
        <f>+'2.'!E15+'3.'!E15</f>
        <v>0</v>
      </c>
      <c r="F15" s="234">
        <f>+'2.'!F15+'3.'!F15</f>
        <v>0</v>
      </c>
      <c r="G15" s="235">
        <f>+'2.'!G15+'3.'!G15</f>
        <v>0</v>
      </c>
      <c r="H15" s="178">
        <v>0</v>
      </c>
      <c r="I15" s="13"/>
      <c r="J15" s="480"/>
      <c r="K15" s="19" t="s">
        <v>2</v>
      </c>
      <c r="L15" s="20" t="s">
        <v>12</v>
      </c>
      <c r="M15" s="235">
        <f>+'2.'!M15+'3.'!M15</f>
        <v>775090</v>
      </c>
      <c r="N15" s="235">
        <f>+'2.'!N15+'3.'!N15</f>
        <v>3852050</v>
      </c>
      <c r="O15" s="235">
        <f>+'2.'!O15+'3.'!O15</f>
        <v>2641350</v>
      </c>
      <c r="P15" s="160">
        <f t="shared" si="1"/>
        <v>68.569982217260943</v>
      </c>
    </row>
    <row r="16" spans="1:17" s="1" customFormat="1" ht="18" customHeight="1" x14ac:dyDescent="0.2">
      <c r="A16" s="17"/>
      <c r="B16" s="484"/>
      <c r="C16" s="19" t="s">
        <v>4</v>
      </c>
      <c r="D16" s="20" t="s">
        <v>11</v>
      </c>
      <c r="E16" s="234">
        <f>+'2.'!E16+'3.'!E16</f>
        <v>0</v>
      </c>
      <c r="F16" s="234">
        <f>+'2.'!F16+'3.'!F16</f>
        <v>0</v>
      </c>
      <c r="G16" s="235">
        <f>+'2.'!G16+'3.'!G16</f>
        <v>0</v>
      </c>
      <c r="H16" s="178">
        <v>0</v>
      </c>
      <c r="I16" s="13"/>
      <c r="J16" s="481"/>
      <c r="K16" s="19" t="s">
        <v>4</v>
      </c>
      <c r="L16" s="20" t="s">
        <v>11</v>
      </c>
      <c r="M16" s="235">
        <f>+'2.'!M16+'3.'!M16</f>
        <v>0</v>
      </c>
      <c r="N16" s="235">
        <f>+'2.'!N16+'3.'!N16</f>
        <v>0</v>
      </c>
      <c r="O16" s="235">
        <f>+'2.'!O16+'3.'!O16</f>
        <v>0</v>
      </c>
      <c r="P16" s="160">
        <v>0</v>
      </c>
    </row>
    <row r="17" spans="1:16" s="1" customFormat="1" ht="20.25" customHeight="1" x14ac:dyDescent="0.2">
      <c r="A17" s="17"/>
      <c r="B17" s="482" t="s">
        <v>67</v>
      </c>
      <c r="C17" s="499" t="s">
        <v>6</v>
      </c>
      <c r="D17" s="500"/>
      <c r="E17" s="176">
        <f>+E18+E19+E20</f>
        <v>135000</v>
      </c>
      <c r="F17" s="176">
        <f>+F18+F19+F20</f>
        <v>97000</v>
      </c>
      <c r="G17" s="156">
        <f>+G18+G19+G20</f>
        <v>97000</v>
      </c>
      <c r="H17" s="175">
        <f t="shared" si="0"/>
        <v>100</v>
      </c>
      <c r="I17" s="13"/>
      <c r="J17" s="479" t="s">
        <v>50</v>
      </c>
      <c r="K17" s="501" t="s">
        <v>19</v>
      </c>
      <c r="L17" s="501"/>
      <c r="M17" s="156">
        <f>+M18+M19+M20</f>
        <v>54645270</v>
      </c>
      <c r="N17" s="156">
        <f>+N18+N19+N20</f>
        <v>72002444</v>
      </c>
      <c r="O17" s="156">
        <f>+O18+O19+O20</f>
        <v>59089620</v>
      </c>
      <c r="P17" s="155">
        <f t="shared" si="1"/>
        <v>82.066130977442924</v>
      </c>
    </row>
    <row r="18" spans="1:16" s="1" customFormat="1" ht="18" customHeight="1" x14ac:dyDescent="0.2">
      <c r="A18" s="17"/>
      <c r="B18" s="483"/>
      <c r="C18" s="19" t="s">
        <v>1</v>
      </c>
      <c r="D18" s="20" t="s">
        <v>10</v>
      </c>
      <c r="E18" s="234">
        <f>+'2.'!E18+'3.'!E18</f>
        <v>0</v>
      </c>
      <c r="F18" s="234">
        <f>+'2.'!F18+'3.'!F18</f>
        <v>0</v>
      </c>
      <c r="G18" s="235">
        <f>+'2.'!G18+'3.'!G18</f>
        <v>0</v>
      </c>
      <c r="H18" s="178">
        <v>0</v>
      </c>
      <c r="I18" s="13"/>
      <c r="J18" s="480"/>
      <c r="K18" s="19" t="s">
        <v>1</v>
      </c>
      <c r="L18" s="20" t="s">
        <v>10</v>
      </c>
      <c r="M18" s="235">
        <f>+'2.'!M18+'3.'!M18</f>
        <v>54488031</v>
      </c>
      <c r="N18" s="235">
        <f>+'2.'!N18+'3.'!N18</f>
        <v>70700602</v>
      </c>
      <c r="O18" s="235">
        <f>+'2.'!O18+'3.'!O18</f>
        <v>59012920</v>
      </c>
      <c r="P18" s="160">
        <f t="shared" si="1"/>
        <v>83.468765937806296</v>
      </c>
    </row>
    <row r="19" spans="1:16" s="1" customFormat="1" ht="18" customHeight="1" x14ac:dyDescent="0.2">
      <c r="A19" s="17"/>
      <c r="B19" s="483"/>
      <c r="C19" s="19" t="s">
        <v>2</v>
      </c>
      <c r="D19" s="20" t="s">
        <v>12</v>
      </c>
      <c r="E19" s="234">
        <f>+'2.'!E19+'3.'!E19</f>
        <v>0</v>
      </c>
      <c r="F19" s="234">
        <f>+'2.'!F19+'3.'!F19</f>
        <v>0</v>
      </c>
      <c r="G19" s="235">
        <f>+'2.'!G19+'3.'!G19</f>
        <v>0</v>
      </c>
      <c r="H19" s="178">
        <v>0</v>
      </c>
      <c r="I19" s="13"/>
      <c r="J19" s="480"/>
      <c r="K19" s="19" t="s">
        <v>2</v>
      </c>
      <c r="L19" s="20" t="s">
        <v>12</v>
      </c>
      <c r="M19" s="235">
        <f>+'2.'!M19+'3.'!M19</f>
        <v>157239</v>
      </c>
      <c r="N19" s="235">
        <f>+'2.'!N19+'3.'!N19</f>
        <v>1301842</v>
      </c>
      <c r="O19" s="235">
        <f>+'2.'!O19+'3.'!O19</f>
        <v>76700</v>
      </c>
      <c r="P19" s="160">
        <f t="shared" si="1"/>
        <v>5.8916519823450155</v>
      </c>
    </row>
    <row r="20" spans="1:16" s="1" customFormat="1" ht="18" customHeight="1" x14ac:dyDescent="0.2">
      <c r="A20" s="17"/>
      <c r="B20" s="484"/>
      <c r="C20" s="19" t="s">
        <v>4</v>
      </c>
      <c r="D20" s="20" t="s">
        <v>11</v>
      </c>
      <c r="E20" s="234">
        <f>+'2.'!E20+'3.'!E20</f>
        <v>135000</v>
      </c>
      <c r="F20" s="234">
        <f>+'2.'!F20+'3.'!F20</f>
        <v>97000</v>
      </c>
      <c r="G20" s="235">
        <f>+'2.'!G20+'3.'!G20</f>
        <v>97000</v>
      </c>
      <c r="H20" s="178">
        <f t="shared" si="0"/>
        <v>100</v>
      </c>
      <c r="I20" s="13"/>
      <c r="J20" s="481"/>
      <c r="K20" s="19" t="s">
        <v>4</v>
      </c>
      <c r="L20" s="20" t="s">
        <v>11</v>
      </c>
      <c r="M20" s="235">
        <f>+'2.'!M20+'3.'!M20</f>
        <v>0</v>
      </c>
      <c r="N20" s="235">
        <f>+'2.'!N20+'3.'!N20</f>
        <v>0</v>
      </c>
      <c r="O20" s="235">
        <f>+'2.'!O20+'3.'!O20</f>
        <v>0</v>
      </c>
      <c r="P20" s="160">
        <v>0</v>
      </c>
    </row>
    <row r="21" spans="1:16" s="1" customFormat="1" ht="18" customHeight="1" x14ac:dyDescent="0.2">
      <c r="A21" s="17"/>
      <c r="B21" s="482" t="s">
        <v>68</v>
      </c>
      <c r="C21" s="499" t="s">
        <v>32</v>
      </c>
      <c r="D21" s="500"/>
      <c r="E21" s="176">
        <f>+E22+E23+E24</f>
        <v>10704653</v>
      </c>
      <c r="F21" s="176">
        <f>+F22+F23+F24</f>
        <v>2920396</v>
      </c>
      <c r="G21" s="156">
        <f>+G22+G23+G24</f>
        <v>2962062</v>
      </c>
      <c r="H21" s="175">
        <f t="shared" si="0"/>
        <v>101.42672432094825</v>
      </c>
      <c r="I21" s="13"/>
      <c r="J21" s="479" t="s">
        <v>51</v>
      </c>
      <c r="K21" s="508" t="s">
        <v>31</v>
      </c>
      <c r="L21" s="508"/>
      <c r="M21" s="156">
        <f>+M22+M23+M24</f>
        <v>396549760</v>
      </c>
      <c r="N21" s="156">
        <f>+N22+N23+N24</f>
        <v>544347248</v>
      </c>
      <c r="O21" s="156">
        <f>+O22+O23+O24</f>
        <v>266471969</v>
      </c>
      <c r="P21" s="155">
        <f t="shared" si="1"/>
        <v>48.952570253464387</v>
      </c>
    </row>
    <row r="22" spans="1:16" s="1" customFormat="1" ht="18" customHeight="1" x14ac:dyDescent="0.2">
      <c r="A22" s="17"/>
      <c r="B22" s="483"/>
      <c r="C22" s="19" t="s">
        <v>1</v>
      </c>
      <c r="D22" s="20" t="s">
        <v>10</v>
      </c>
      <c r="E22" s="234">
        <f>+'2.'!E22+'3.'!E22</f>
        <v>10704653</v>
      </c>
      <c r="F22" s="234">
        <f>+'2.'!F22+'3.'!F22</f>
        <v>2920396</v>
      </c>
      <c r="G22" s="235">
        <f>+'2.'!G22+'3.'!G22</f>
        <v>2962062</v>
      </c>
      <c r="H22" s="178">
        <f t="shared" si="0"/>
        <v>101.42672432094825</v>
      </c>
      <c r="I22" s="13"/>
      <c r="J22" s="480"/>
      <c r="K22" s="19" t="s">
        <v>1</v>
      </c>
      <c r="L22" s="20" t="s">
        <v>10</v>
      </c>
      <c r="M22" s="235">
        <f>+'2.'!M22+'3.'!M22</f>
        <v>395087873</v>
      </c>
      <c r="N22" s="235">
        <f>+'2.'!N22+'3.'!N22</f>
        <v>541862798</v>
      </c>
      <c r="O22" s="235">
        <f>+'2.'!O22+'3.'!O22</f>
        <v>263987519</v>
      </c>
      <c r="P22" s="160">
        <f t="shared" si="1"/>
        <v>48.718516933506109</v>
      </c>
    </row>
    <row r="23" spans="1:16" s="1" customFormat="1" ht="18" customHeight="1" x14ac:dyDescent="0.2">
      <c r="A23" s="17"/>
      <c r="B23" s="483"/>
      <c r="C23" s="19" t="s">
        <v>2</v>
      </c>
      <c r="D23" s="20" t="s">
        <v>12</v>
      </c>
      <c r="E23" s="234">
        <f>+'2.'!E23+'3.'!E23</f>
        <v>0</v>
      </c>
      <c r="F23" s="234">
        <f>+'2.'!F23+'3.'!F23</f>
        <v>0</v>
      </c>
      <c r="G23" s="235">
        <f>+'2.'!G23+'3.'!G23</f>
        <v>0</v>
      </c>
      <c r="H23" s="178">
        <v>0</v>
      </c>
      <c r="I23" s="13"/>
      <c r="J23" s="480"/>
      <c r="K23" s="19" t="s">
        <v>2</v>
      </c>
      <c r="L23" s="20" t="s">
        <v>12</v>
      </c>
      <c r="M23" s="235">
        <f>+'2.'!M23+'3.'!M23</f>
        <v>1461887</v>
      </c>
      <c r="N23" s="235">
        <f>+'2.'!N23+'3.'!N23</f>
        <v>2484450</v>
      </c>
      <c r="O23" s="235">
        <f>+'2.'!O23+'3.'!O23</f>
        <v>2484450</v>
      </c>
      <c r="P23" s="160">
        <f t="shared" si="1"/>
        <v>100</v>
      </c>
    </row>
    <row r="24" spans="1:16" s="1" customFormat="1" ht="18" customHeight="1" x14ac:dyDescent="0.2">
      <c r="A24" s="17"/>
      <c r="B24" s="484"/>
      <c r="C24" s="19" t="s">
        <v>4</v>
      </c>
      <c r="D24" s="20" t="s">
        <v>11</v>
      </c>
      <c r="E24" s="234">
        <f>+'2.'!E24+'3.'!E24</f>
        <v>0</v>
      </c>
      <c r="F24" s="234">
        <f>+'2.'!F24+'3.'!F24</f>
        <v>0</v>
      </c>
      <c r="G24" s="235">
        <f>+'2.'!G24+'3.'!G24</f>
        <v>0</v>
      </c>
      <c r="H24" s="178">
        <v>0</v>
      </c>
      <c r="I24" s="13"/>
      <c r="J24" s="481"/>
      <c r="K24" s="19" t="s">
        <v>4</v>
      </c>
      <c r="L24" s="20" t="s">
        <v>11</v>
      </c>
      <c r="M24" s="235">
        <f>+'2.'!M24+'3.'!M24</f>
        <v>0</v>
      </c>
      <c r="N24" s="235">
        <f>+'2.'!N24+'3.'!N24</f>
        <v>0</v>
      </c>
      <c r="O24" s="235">
        <f>+'2.'!O24+'3.'!O24</f>
        <v>0</v>
      </c>
      <c r="P24" s="160">
        <v>0</v>
      </c>
    </row>
    <row r="25" spans="1:16" s="1" customFormat="1" ht="18" customHeight="1" x14ac:dyDescent="0.2">
      <c r="A25" s="17"/>
      <c r="B25" s="482" t="s">
        <v>70</v>
      </c>
      <c r="C25" s="477" t="s">
        <v>46</v>
      </c>
      <c r="D25" s="478"/>
      <c r="E25" s="176">
        <f>+E26+E27+E28</f>
        <v>97187814</v>
      </c>
      <c r="F25" s="176">
        <f>+F26+F27+F28</f>
        <v>139023593</v>
      </c>
      <c r="G25" s="156">
        <f>+G26+G27+G28</f>
        <v>56301555</v>
      </c>
      <c r="H25" s="175">
        <f t="shared" si="0"/>
        <v>40.497841974203617</v>
      </c>
      <c r="I25" s="13"/>
      <c r="J25" s="479" t="s">
        <v>52</v>
      </c>
      <c r="K25" s="498" t="s">
        <v>8</v>
      </c>
      <c r="L25" s="498"/>
      <c r="M25" s="156">
        <f>+M26+M27+M28</f>
        <v>0</v>
      </c>
      <c r="N25" s="156">
        <f>+N26+N27+N28</f>
        <v>0</v>
      </c>
      <c r="O25" s="156">
        <f>+O26+O27+O28</f>
        <v>0</v>
      </c>
      <c r="P25" s="155">
        <v>0</v>
      </c>
    </row>
    <row r="26" spans="1:16" s="1" customFormat="1" ht="18" customHeight="1" x14ac:dyDescent="0.2">
      <c r="A26" s="17"/>
      <c r="B26" s="483"/>
      <c r="C26" s="19" t="s">
        <v>1</v>
      </c>
      <c r="D26" s="20" t="s">
        <v>10</v>
      </c>
      <c r="E26" s="234">
        <f>+'2.'!E26+'3.'!E26</f>
        <v>97187814</v>
      </c>
      <c r="F26" s="234">
        <f>+'2.'!F26+'3.'!F26</f>
        <v>139023593</v>
      </c>
      <c r="G26" s="235">
        <f>+'2.'!G26+'3.'!G26</f>
        <v>56301555</v>
      </c>
      <c r="H26" s="178">
        <f t="shared" si="0"/>
        <v>40.497841974203617</v>
      </c>
      <c r="I26" s="13"/>
      <c r="J26" s="480"/>
      <c r="K26" s="19" t="s">
        <v>1</v>
      </c>
      <c r="L26" s="20" t="s">
        <v>10</v>
      </c>
      <c r="M26" s="235">
        <f>+'2.'!M26+'3.'!M26</f>
        <v>0</v>
      </c>
      <c r="N26" s="235">
        <f>+'2.'!N26+'3.'!N26</f>
        <v>0</v>
      </c>
      <c r="O26" s="235">
        <f>+'2.'!O26+'3.'!O26</f>
        <v>0</v>
      </c>
      <c r="P26" s="160">
        <v>0</v>
      </c>
    </row>
    <row r="27" spans="1:16" s="1" customFormat="1" ht="18" customHeight="1" x14ac:dyDescent="0.2">
      <c r="A27" s="17"/>
      <c r="B27" s="483"/>
      <c r="C27" s="19" t="s">
        <v>2</v>
      </c>
      <c r="D27" s="20" t="s">
        <v>12</v>
      </c>
      <c r="E27" s="234">
        <f>+'2.'!E27+'3.'!E27</f>
        <v>0</v>
      </c>
      <c r="F27" s="234">
        <f>+'2.'!F27+'3.'!F27</f>
        <v>0</v>
      </c>
      <c r="G27" s="235">
        <f>+'2.'!G27+'3.'!G27</f>
        <v>0</v>
      </c>
      <c r="H27" s="178">
        <v>0</v>
      </c>
      <c r="I27" s="13"/>
      <c r="J27" s="480"/>
      <c r="K27" s="19" t="s">
        <v>2</v>
      </c>
      <c r="L27" s="20" t="s">
        <v>12</v>
      </c>
      <c r="M27" s="235">
        <f>+'2.'!M27+'3.'!M27</f>
        <v>0</v>
      </c>
      <c r="N27" s="235">
        <f>+'2.'!N27+'3.'!N27</f>
        <v>0</v>
      </c>
      <c r="O27" s="235">
        <f>+'2.'!O27+'3.'!O27</f>
        <v>0</v>
      </c>
      <c r="P27" s="160">
        <v>0</v>
      </c>
    </row>
    <row r="28" spans="1:16" s="1" customFormat="1" ht="18" customHeight="1" x14ac:dyDescent="0.2">
      <c r="A28" s="18"/>
      <c r="B28" s="484"/>
      <c r="C28" s="19" t="s">
        <v>4</v>
      </c>
      <c r="D28" s="20" t="s">
        <v>11</v>
      </c>
      <c r="E28" s="234">
        <f>+'2.'!E28+'3.'!E28</f>
        <v>0</v>
      </c>
      <c r="F28" s="234">
        <f>+'2.'!F28+'3.'!F28</f>
        <v>0</v>
      </c>
      <c r="G28" s="235">
        <f>+'2.'!G28+'3.'!G28</f>
        <v>0</v>
      </c>
      <c r="H28" s="178">
        <v>0</v>
      </c>
      <c r="I28" s="13"/>
      <c r="J28" s="481"/>
      <c r="K28" s="19" t="s">
        <v>4</v>
      </c>
      <c r="L28" s="20" t="s">
        <v>11</v>
      </c>
      <c r="M28" s="235">
        <f>+'2.'!M28+'3.'!M28</f>
        <v>0</v>
      </c>
      <c r="N28" s="235">
        <f>+'2.'!N28+'3.'!N28</f>
        <v>0</v>
      </c>
      <c r="O28" s="235">
        <f>+'2.'!O28+'3.'!O28</f>
        <v>0</v>
      </c>
      <c r="P28" s="160">
        <v>0</v>
      </c>
    </row>
    <row r="29" spans="1:16" s="1" customFormat="1" ht="18" customHeight="1" x14ac:dyDescent="0.2">
      <c r="A29" s="536"/>
      <c r="B29" s="537"/>
      <c r="C29" s="537"/>
      <c r="D29" s="537"/>
      <c r="E29" s="537"/>
      <c r="F29" s="537"/>
      <c r="G29" s="537"/>
      <c r="H29" s="538"/>
      <c r="I29" s="13"/>
      <c r="J29" s="479" t="s">
        <v>53</v>
      </c>
      <c r="K29" s="508" t="s">
        <v>13</v>
      </c>
      <c r="L29" s="508"/>
      <c r="M29" s="156">
        <f>+M30+M33+M34</f>
        <v>91618308</v>
      </c>
      <c r="N29" s="156">
        <f>+N30+N33+N34</f>
        <v>329264298</v>
      </c>
      <c r="O29" s="238">
        <f>+O30+O33+O34</f>
        <v>82225058</v>
      </c>
      <c r="P29" s="224">
        <f t="shared" si="1"/>
        <v>24.972357616494456</v>
      </c>
    </row>
    <row r="30" spans="1:16" s="1" customFormat="1" ht="18" customHeight="1" x14ac:dyDescent="0.2">
      <c r="A30" s="539"/>
      <c r="B30" s="540"/>
      <c r="C30" s="540"/>
      <c r="D30" s="540"/>
      <c r="E30" s="540"/>
      <c r="F30" s="540"/>
      <c r="G30" s="540"/>
      <c r="H30" s="541"/>
      <c r="I30" s="13"/>
      <c r="J30" s="480"/>
      <c r="K30" s="19" t="s">
        <v>1</v>
      </c>
      <c r="L30" s="20" t="s">
        <v>10</v>
      </c>
      <c r="M30" s="235">
        <f>+'2.'!M30+'3.'!M30</f>
        <v>86084480</v>
      </c>
      <c r="N30" s="235">
        <f>+'2.'!N30+'3.'!N30</f>
        <v>322954298</v>
      </c>
      <c r="O30" s="239">
        <f>+'2.'!O30+'3.'!O30</f>
        <v>80515058</v>
      </c>
      <c r="P30" s="162">
        <f t="shared" si="1"/>
        <v>24.930790052529353</v>
      </c>
    </row>
    <row r="31" spans="1:16" s="1" customFormat="1" ht="18" customHeight="1" x14ac:dyDescent="0.2">
      <c r="A31" s="539"/>
      <c r="B31" s="540"/>
      <c r="C31" s="540"/>
      <c r="D31" s="540"/>
      <c r="E31" s="540"/>
      <c r="F31" s="540"/>
      <c r="G31" s="540"/>
      <c r="H31" s="541"/>
      <c r="I31" s="13"/>
      <c r="J31" s="480"/>
      <c r="K31" s="33" t="s">
        <v>85</v>
      </c>
      <c r="L31" s="34" t="s">
        <v>87</v>
      </c>
      <c r="M31" s="240">
        <f>+'2.'!M31+'3.'!M31</f>
        <v>0</v>
      </c>
      <c r="N31" s="240">
        <f>+'2.'!N31+'3.'!N31</f>
        <v>90461524</v>
      </c>
      <c r="O31" s="241">
        <f>+'2.'!O31+'3.'!O31</f>
        <v>0</v>
      </c>
      <c r="P31" s="166">
        <f t="shared" si="1"/>
        <v>0</v>
      </c>
    </row>
    <row r="32" spans="1:16" s="1" customFormat="1" ht="18" customHeight="1" x14ac:dyDescent="0.2">
      <c r="A32" s="539"/>
      <c r="B32" s="540"/>
      <c r="C32" s="540"/>
      <c r="D32" s="540"/>
      <c r="E32" s="540"/>
      <c r="F32" s="540"/>
      <c r="G32" s="540"/>
      <c r="H32" s="541"/>
      <c r="I32" s="13"/>
      <c r="J32" s="480"/>
      <c r="K32" s="33" t="s">
        <v>86</v>
      </c>
      <c r="L32" s="34" t="s">
        <v>88</v>
      </c>
      <c r="M32" s="240">
        <f>+'2.'!M32+'3.'!M32</f>
        <v>0</v>
      </c>
      <c r="N32" s="240">
        <f>+'2.'!N32+'3.'!N32</f>
        <v>150820911</v>
      </c>
      <c r="O32" s="241">
        <f>+'2.'!O32+'3.'!O32</f>
        <v>0</v>
      </c>
      <c r="P32" s="166">
        <f t="shared" si="1"/>
        <v>0</v>
      </c>
    </row>
    <row r="33" spans="1:16" s="1" customFormat="1" ht="18" customHeight="1" x14ac:dyDescent="0.2">
      <c r="A33" s="539"/>
      <c r="B33" s="540"/>
      <c r="C33" s="540"/>
      <c r="D33" s="540"/>
      <c r="E33" s="540"/>
      <c r="F33" s="540"/>
      <c r="G33" s="540"/>
      <c r="H33" s="541"/>
      <c r="I33" s="13"/>
      <c r="J33" s="480"/>
      <c r="K33" s="19" t="s">
        <v>2</v>
      </c>
      <c r="L33" s="20" t="s">
        <v>12</v>
      </c>
      <c r="M33" s="235">
        <f>+'2.'!M33</f>
        <v>5533828</v>
      </c>
      <c r="N33" s="235">
        <f>+'2.'!N33</f>
        <v>6310000</v>
      </c>
      <c r="O33" s="239">
        <f>+'2.'!O33</f>
        <v>1710000</v>
      </c>
      <c r="P33" s="162">
        <f t="shared" si="1"/>
        <v>27.099841521394612</v>
      </c>
    </row>
    <row r="34" spans="1:16" s="1" customFormat="1" ht="18" customHeight="1" x14ac:dyDescent="0.2">
      <c r="A34" s="542"/>
      <c r="B34" s="543"/>
      <c r="C34" s="543"/>
      <c r="D34" s="543"/>
      <c r="E34" s="543"/>
      <c r="F34" s="543"/>
      <c r="G34" s="543"/>
      <c r="H34" s="544"/>
      <c r="I34" s="12"/>
      <c r="J34" s="481"/>
      <c r="K34" s="19" t="s">
        <v>4</v>
      </c>
      <c r="L34" s="20" t="s">
        <v>11</v>
      </c>
      <c r="M34" s="235">
        <f>+'2.'!M34</f>
        <v>0</v>
      </c>
      <c r="N34" s="235">
        <f>+'2.'!N34</f>
        <v>0</v>
      </c>
      <c r="O34" s="242">
        <f>+'2.'!O34</f>
        <v>0</v>
      </c>
      <c r="P34" s="162">
        <v>0</v>
      </c>
    </row>
    <row r="35" spans="1:16" s="1" customFormat="1" ht="18" customHeight="1" x14ac:dyDescent="0.2">
      <c r="A35" s="35" t="s">
        <v>0</v>
      </c>
      <c r="B35" s="545" t="s">
        <v>22</v>
      </c>
      <c r="C35" s="546"/>
      <c r="D35" s="547"/>
      <c r="E35" s="179">
        <f>+E36+E37+E38</f>
        <v>1095723268</v>
      </c>
      <c r="F35" s="179">
        <f>+F36+F37+F38</f>
        <v>1113614223</v>
      </c>
      <c r="G35" s="179">
        <f>+G36+G37+G38</f>
        <v>905339232</v>
      </c>
      <c r="H35" s="180">
        <f>+G35/F35*100</f>
        <v>81.297384076244867</v>
      </c>
      <c r="I35" s="36" t="s">
        <v>0</v>
      </c>
      <c r="J35" s="485" t="s">
        <v>17</v>
      </c>
      <c r="K35" s="486"/>
      <c r="L35" s="486"/>
      <c r="M35" s="243">
        <f>+M36+M37+M38</f>
        <v>1007203197</v>
      </c>
      <c r="N35" s="243">
        <f>+N36+N37+N38</f>
        <v>1630407035</v>
      </c>
      <c r="O35" s="244">
        <f>+O36+O37+O38</f>
        <v>1017296021</v>
      </c>
      <c r="P35" s="172">
        <f t="shared" si="1"/>
        <v>62.395217829761137</v>
      </c>
    </row>
    <row r="36" spans="1:16" s="1" customFormat="1" ht="18" customHeight="1" x14ac:dyDescent="0.2">
      <c r="A36" s="24"/>
      <c r="B36" s="530" t="s">
        <v>73</v>
      </c>
      <c r="C36" s="25" t="s">
        <v>1</v>
      </c>
      <c r="D36" s="26" t="s">
        <v>10</v>
      </c>
      <c r="E36" s="181">
        <f t="shared" ref="E36:G38" si="2">+E26+E22+E18+E14</f>
        <v>1095588268</v>
      </c>
      <c r="F36" s="181">
        <f t="shared" si="2"/>
        <v>1113517223</v>
      </c>
      <c r="G36" s="181">
        <f t="shared" si="2"/>
        <v>905242232</v>
      </c>
      <c r="H36" s="182">
        <f t="shared" ref="H36:H38" si="3">+G36/F36*100</f>
        <v>81.295754865930803</v>
      </c>
      <c r="I36" s="466"/>
      <c r="J36" s="535" t="s">
        <v>72</v>
      </c>
      <c r="K36" s="25" t="s">
        <v>1</v>
      </c>
      <c r="L36" s="45" t="s">
        <v>10</v>
      </c>
      <c r="M36" s="245">
        <f>+M14+M18+M22+M26+M30</f>
        <v>999275153</v>
      </c>
      <c r="N36" s="245">
        <f>+N14+N18+N22+N26+N30</f>
        <v>1616458693</v>
      </c>
      <c r="O36" s="173">
        <f>+O14+O18+O22+O26+O30</f>
        <v>1010383521</v>
      </c>
      <c r="P36" s="174">
        <f t="shared" si="1"/>
        <v>62.505990742319575</v>
      </c>
    </row>
    <row r="37" spans="1:16" s="1" customFormat="1" ht="18" customHeight="1" x14ac:dyDescent="0.2">
      <c r="A37" s="24"/>
      <c r="B37" s="531"/>
      <c r="C37" s="25" t="s">
        <v>2</v>
      </c>
      <c r="D37" s="26" t="s">
        <v>12</v>
      </c>
      <c r="E37" s="181">
        <f t="shared" si="2"/>
        <v>0</v>
      </c>
      <c r="F37" s="181">
        <f t="shared" si="2"/>
        <v>0</v>
      </c>
      <c r="G37" s="181">
        <f t="shared" si="2"/>
        <v>0</v>
      </c>
      <c r="H37" s="182">
        <v>0</v>
      </c>
      <c r="I37" s="466"/>
      <c r="J37" s="535"/>
      <c r="K37" s="25" t="s">
        <v>2</v>
      </c>
      <c r="L37" s="45" t="s">
        <v>12</v>
      </c>
      <c r="M37" s="245">
        <f>+M15+M19+M23+M33+M27</f>
        <v>7928044</v>
      </c>
      <c r="N37" s="245">
        <f>+N15+N19+N23+N33+N27</f>
        <v>13948342</v>
      </c>
      <c r="O37" s="245">
        <f>+O15+O19+O23+O33+O27</f>
        <v>6912500</v>
      </c>
      <c r="P37" s="174">
        <f t="shared" si="1"/>
        <v>49.557861428978441</v>
      </c>
    </row>
    <row r="38" spans="1:16" s="1" customFormat="1" ht="18" customHeight="1" x14ac:dyDescent="0.2">
      <c r="A38" s="27"/>
      <c r="B38" s="532"/>
      <c r="C38" s="25" t="s">
        <v>4</v>
      </c>
      <c r="D38" s="26" t="s">
        <v>11</v>
      </c>
      <c r="E38" s="181">
        <f t="shared" si="2"/>
        <v>135000</v>
      </c>
      <c r="F38" s="181">
        <f t="shared" si="2"/>
        <v>97000</v>
      </c>
      <c r="G38" s="181">
        <f t="shared" si="2"/>
        <v>97000</v>
      </c>
      <c r="H38" s="182">
        <f t="shared" si="3"/>
        <v>100</v>
      </c>
      <c r="I38" s="467"/>
      <c r="J38" s="535"/>
      <c r="K38" s="25" t="s">
        <v>4</v>
      </c>
      <c r="L38" s="45" t="s">
        <v>11</v>
      </c>
      <c r="M38" s="245">
        <f>+M16+M20+M24+M34+M27</f>
        <v>0</v>
      </c>
      <c r="N38" s="245">
        <f>+N16+N20+N24+N34+N27</f>
        <v>0</v>
      </c>
      <c r="O38" s="245">
        <f>+O16+O20+O24+O34+O27</f>
        <v>0</v>
      </c>
      <c r="P38" s="174">
        <v>0</v>
      </c>
    </row>
    <row r="39" spans="1:16" s="40" customFormat="1" ht="30.75" customHeight="1" thickBot="1" x14ac:dyDescent="0.25">
      <c r="A39" s="510" t="s">
        <v>89</v>
      </c>
      <c r="B39" s="511"/>
      <c r="C39" s="511"/>
      <c r="D39" s="512"/>
      <c r="E39" s="336"/>
      <c r="F39" s="336">
        <f>N35-F35</f>
        <v>516792812</v>
      </c>
      <c r="G39" s="325">
        <f>O35-G35</f>
        <v>111956789</v>
      </c>
      <c r="H39" s="344"/>
      <c r="I39" s="510" t="s">
        <v>90</v>
      </c>
      <c r="J39" s="511"/>
      <c r="K39" s="511"/>
      <c r="L39" s="512"/>
      <c r="M39" s="345">
        <f>E35-M35</f>
        <v>88520071</v>
      </c>
      <c r="N39" s="345"/>
      <c r="O39" s="336"/>
      <c r="P39" s="337"/>
    </row>
    <row r="40" spans="1:16" s="1" customFormat="1" ht="18" customHeight="1" x14ac:dyDescent="0.2">
      <c r="A40" s="487" t="s">
        <v>45</v>
      </c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9"/>
    </row>
    <row r="41" spans="1:16" s="1" customFormat="1" ht="18" customHeight="1" x14ac:dyDescent="0.2">
      <c r="A41" s="37" t="s">
        <v>3</v>
      </c>
      <c r="B41" s="548" t="s">
        <v>23</v>
      </c>
      <c r="C41" s="549"/>
      <c r="D41" s="550"/>
      <c r="E41" s="230">
        <f>+E42+E46+E50</f>
        <v>13274803</v>
      </c>
      <c r="F41" s="230">
        <f>+F42+F46+F50</f>
        <v>2664000</v>
      </c>
      <c r="G41" s="230">
        <f>+G42+G46+G50</f>
        <v>0</v>
      </c>
      <c r="H41" s="175">
        <f>+G41/F41*100</f>
        <v>0</v>
      </c>
      <c r="I41" s="38" t="s">
        <v>3</v>
      </c>
      <c r="J41" s="502" t="s">
        <v>21</v>
      </c>
      <c r="K41" s="503"/>
      <c r="L41" s="504"/>
      <c r="M41" s="246">
        <f>+M42+M46+M50</f>
        <v>228061020</v>
      </c>
      <c r="N41" s="246">
        <f>+N42+N46+N50</f>
        <v>245651344</v>
      </c>
      <c r="O41" s="237">
        <f>+O42+O46+O50</f>
        <v>158069323</v>
      </c>
      <c r="P41" s="175">
        <f>+O41/N41*100</f>
        <v>64.347021443530139</v>
      </c>
    </row>
    <row r="42" spans="1:16" s="1" customFormat="1" ht="18" customHeight="1" x14ac:dyDescent="0.2">
      <c r="A42" s="17"/>
      <c r="B42" s="482" t="s">
        <v>66</v>
      </c>
      <c r="C42" s="533" t="s">
        <v>204</v>
      </c>
      <c r="D42" s="534"/>
      <c r="E42" s="176">
        <f>+E43+E44+E45</f>
        <v>10000000</v>
      </c>
      <c r="F42" s="176">
        <f>+F43+F44+F45</f>
        <v>0</v>
      </c>
      <c r="G42" s="176">
        <f>+G43+G44+G45</f>
        <v>0</v>
      </c>
      <c r="H42" s="175">
        <v>0</v>
      </c>
      <c r="I42" s="13"/>
      <c r="J42" s="479" t="s">
        <v>55</v>
      </c>
      <c r="K42" s="477" t="s">
        <v>14</v>
      </c>
      <c r="L42" s="478"/>
      <c r="M42" s="156">
        <f>+M43+M44+M45</f>
        <v>220612975</v>
      </c>
      <c r="N42" s="156">
        <f>+N43+N44+N45</f>
        <v>243460594</v>
      </c>
      <c r="O42" s="156">
        <f>+O43+O44+O45</f>
        <v>156005573</v>
      </c>
      <c r="P42" s="175">
        <f t="shared" ref="P42:P43" si="4">+O42/N42*100</f>
        <v>64.078367031339781</v>
      </c>
    </row>
    <row r="43" spans="1:16" s="1" customFormat="1" ht="18" customHeight="1" x14ac:dyDescent="0.2">
      <c r="A43" s="17"/>
      <c r="B43" s="483"/>
      <c r="C43" s="19" t="s">
        <v>1</v>
      </c>
      <c r="D43" s="20" t="s">
        <v>10</v>
      </c>
      <c r="E43" s="234">
        <f>+'2.'!E43+'3.'!E43</f>
        <v>10000000</v>
      </c>
      <c r="F43" s="234">
        <f>+'2.'!F43+'3.'!F43</f>
        <v>0</v>
      </c>
      <c r="G43" s="234">
        <f>+'2.'!G43+'3.'!G43</f>
        <v>0</v>
      </c>
      <c r="H43" s="178">
        <v>0</v>
      </c>
      <c r="I43" s="13"/>
      <c r="J43" s="480"/>
      <c r="K43" s="19" t="s">
        <v>1</v>
      </c>
      <c r="L43" s="20" t="s">
        <v>10</v>
      </c>
      <c r="M43" s="234">
        <f>+'2.'!M43+'3.'!M43</f>
        <v>220612975</v>
      </c>
      <c r="N43" s="234">
        <f>+'2.'!N43+'3.'!N43</f>
        <v>243460594</v>
      </c>
      <c r="O43" s="234">
        <f>+'2.'!O43+'3.'!O43</f>
        <v>156005573</v>
      </c>
      <c r="P43" s="178">
        <f t="shared" si="4"/>
        <v>64.078367031339781</v>
      </c>
    </row>
    <row r="44" spans="1:16" s="1" customFormat="1" ht="18" customHeight="1" x14ac:dyDescent="0.2">
      <c r="A44" s="17"/>
      <c r="B44" s="483"/>
      <c r="C44" s="19" t="s">
        <v>2</v>
      </c>
      <c r="D44" s="20" t="s">
        <v>12</v>
      </c>
      <c r="E44" s="234">
        <f>+'2.'!E44+'3.'!E44</f>
        <v>0</v>
      </c>
      <c r="F44" s="234">
        <f>+'2.'!F44+'3.'!F44</f>
        <v>0</v>
      </c>
      <c r="G44" s="234">
        <f>+'2.'!G44+'3.'!G44</f>
        <v>0</v>
      </c>
      <c r="H44" s="178">
        <v>0</v>
      </c>
      <c r="I44" s="13"/>
      <c r="J44" s="480"/>
      <c r="K44" s="19" t="s">
        <v>2</v>
      </c>
      <c r="L44" s="20" t="s">
        <v>12</v>
      </c>
      <c r="M44" s="234">
        <f>+'2.'!M44+'3.'!M44</f>
        <v>0</v>
      </c>
      <c r="N44" s="234">
        <f>+'2.'!N44+'3.'!N44</f>
        <v>0</v>
      </c>
      <c r="O44" s="234">
        <f>+'2.'!O44+'3.'!O44</f>
        <v>0</v>
      </c>
      <c r="P44" s="178">
        <v>0</v>
      </c>
    </row>
    <row r="45" spans="1:16" s="1" customFormat="1" ht="18" customHeight="1" x14ac:dyDescent="0.2">
      <c r="A45" s="17"/>
      <c r="B45" s="484"/>
      <c r="C45" s="19" t="s">
        <v>4</v>
      </c>
      <c r="D45" s="20" t="s">
        <v>11</v>
      </c>
      <c r="E45" s="234">
        <f>+'2.'!E45+'3.'!E45</f>
        <v>0</v>
      </c>
      <c r="F45" s="234">
        <f>+'2.'!F45+'3.'!F45</f>
        <v>0</v>
      </c>
      <c r="G45" s="234">
        <f>+'2.'!G45+'3.'!G45</f>
        <v>0</v>
      </c>
      <c r="H45" s="178">
        <v>0</v>
      </c>
      <c r="I45" s="13"/>
      <c r="J45" s="481"/>
      <c r="K45" s="19" t="s">
        <v>4</v>
      </c>
      <c r="L45" s="20" t="s">
        <v>11</v>
      </c>
      <c r="M45" s="234">
        <f>+'2.'!M45+'3.'!M45</f>
        <v>0</v>
      </c>
      <c r="N45" s="234">
        <f>+'2.'!N45+'3.'!N45</f>
        <v>0</v>
      </c>
      <c r="O45" s="234">
        <f>+'2.'!O45+'3.'!O45</f>
        <v>0</v>
      </c>
      <c r="P45" s="178">
        <v>0</v>
      </c>
    </row>
    <row r="46" spans="1:16" s="1" customFormat="1" ht="18" customHeight="1" x14ac:dyDescent="0.2">
      <c r="A46" s="17"/>
      <c r="B46" s="482" t="s">
        <v>69</v>
      </c>
      <c r="C46" s="499" t="s">
        <v>24</v>
      </c>
      <c r="D46" s="500"/>
      <c r="E46" s="176">
        <f>+E47+E48+E49</f>
        <v>3274803</v>
      </c>
      <c r="F46" s="176">
        <f>+F47+F48+F49</f>
        <v>2664000</v>
      </c>
      <c r="G46" s="176">
        <f>+G47+G48+G49</f>
        <v>0</v>
      </c>
      <c r="H46" s="175">
        <f t="shared" ref="H46:H47" si="5">+G46/F46*100</f>
        <v>0</v>
      </c>
      <c r="I46" s="13"/>
      <c r="J46" s="479" t="s">
        <v>56</v>
      </c>
      <c r="K46" s="499" t="s">
        <v>15</v>
      </c>
      <c r="L46" s="500"/>
      <c r="M46" s="156">
        <f>+M47+M48+M49</f>
        <v>7448045</v>
      </c>
      <c r="N46" s="156">
        <f>+N47+N48+N49</f>
        <v>2190750</v>
      </c>
      <c r="O46" s="156">
        <f>+O47+O48+O49</f>
        <v>2063750</v>
      </c>
      <c r="P46" s="175">
        <f t="shared" ref="P46:P47" si="6">+O46/N46*100</f>
        <v>94.20289855072464</v>
      </c>
    </row>
    <row r="47" spans="1:16" s="1" customFormat="1" ht="18" customHeight="1" x14ac:dyDescent="0.2">
      <c r="A47" s="17"/>
      <c r="B47" s="483"/>
      <c r="C47" s="19" t="s">
        <v>1</v>
      </c>
      <c r="D47" s="20" t="s">
        <v>10</v>
      </c>
      <c r="E47" s="234">
        <f>+'2.'!E47+'3.'!E47</f>
        <v>3274803</v>
      </c>
      <c r="F47" s="234">
        <f>+'2.'!F47+'3.'!F47</f>
        <v>2664000</v>
      </c>
      <c r="G47" s="234">
        <f>+'2.'!G47+'3.'!G47</f>
        <v>0</v>
      </c>
      <c r="H47" s="178">
        <f t="shared" si="5"/>
        <v>0</v>
      </c>
      <c r="I47" s="13"/>
      <c r="J47" s="480"/>
      <c r="K47" s="19" t="s">
        <v>1</v>
      </c>
      <c r="L47" s="20" t="s">
        <v>10</v>
      </c>
      <c r="M47" s="234">
        <f>+'2.'!M47+'3.'!M47</f>
        <v>7448045</v>
      </c>
      <c r="N47" s="234">
        <f>+'2.'!N47+'3.'!N47</f>
        <v>2190750</v>
      </c>
      <c r="O47" s="234">
        <f>+'2.'!O47+'3.'!O47</f>
        <v>2063750</v>
      </c>
      <c r="P47" s="178">
        <f t="shared" si="6"/>
        <v>94.20289855072464</v>
      </c>
    </row>
    <row r="48" spans="1:16" s="1" customFormat="1" ht="18" customHeight="1" x14ac:dyDescent="0.2">
      <c r="A48" s="17"/>
      <c r="B48" s="483"/>
      <c r="C48" s="19" t="s">
        <v>2</v>
      </c>
      <c r="D48" s="20" t="s">
        <v>12</v>
      </c>
      <c r="E48" s="234">
        <f>+'2.'!E48+'3.'!E48</f>
        <v>0</v>
      </c>
      <c r="F48" s="234">
        <f>+'2.'!F48+'3.'!F48</f>
        <v>0</v>
      </c>
      <c r="G48" s="234">
        <f>+'2.'!G48+'3.'!G48</f>
        <v>0</v>
      </c>
      <c r="H48" s="178">
        <v>0</v>
      </c>
      <c r="I48" s="13"/>
      <c r="J48" s="480"/>
      <c r="K48" s="19" t="s">
        <v>2</v>
      </c>
      <c r="L48" s="20" t="s">
        <v>12</v>
      </c>
      <c r="M48" s="234">
        <f>+'2.'!M48+'3.'!M48</f>
        <v>0</v>
      </c>
      <c r="N48" s="234">
        <f>+'2.'!N48+'3.'!N48</f>
        <v>0</v>
      </c>
      <c r="O48" s="234">
        <f>+'2.'!O48+'3.'!O48</f>
        <v>0</v>
      </c>
      <c r="P48" s="178">
        <v>0</v>
      </c>
    </row>
    <row r="49" spans="1:16" s="1" customFormat="1" ht="18" customHeight="1" x14ac:dyDescent="0.2">
      <c r="A49" s="17"/>
      <c r="B49" s="484"/>
      <c r="C49" s="19" t="s">
        <v>4</v>
      </c>
      <c r="D49" s="20" t="s">
        <v>11</v>
      </c>
      <c r="E49" s="234">
        <f>+'2.'!E49+'3.'!E49</f>
        <v>0</v>
      </c>
      <c r="F49" s="234">
        <f>+'2.'!F49+'3.'!F49</f>
        <v>0</v>
      </c>
      <c r="G49" s="234">
        <f>+'2.'!G49+'3.'!G49</f>
        <v>0</v>
      </c>
      <c r="H49" s="178">
        <v>0</v>
      </c>
      <c r="I49" s="13"/>
      <c r="J49" s="481"/>
      <c r="K49" s="19" t="s">
        <v>4</v>
      </c>
      <c r="L49" s="20" t="s">
        <v>11</v>
      </c>
      <c r="M49" s="234">
        <f>+'2.'!M49+'3.'!M49</f>
        <v>0</v>
      </c>
      <c r="N49" s="234">
        <f>+'2.'!N49+'3.'!N49</f>
        <v>0</v>
      </c>
      <c r="O49" s="234">
        <f>+'2.'!O49+'3.'!O49</f>
        <v>0</v>
      </c>
      <c r="P49" s="178">
        <v>0</v>
      </c>
    </row>
    <row r="50" spans="1:16" s="1" customFormat="1" ht="18" customHeight="1" x14ac:dyDescent="0.2">
      <c r="A50" s="17"/>
      <c r="B50" s="482" t="s">
        <v>71</v>
      </c>
      <c r="C50" s="477" t="s">
        <v>47</v>
      </c>
      <c r="D50" s="478"/>
      <c r="E50" s="176">
        <f>+E51+E52+E53</f>
        <v>0</v>
      </c>
      <c r="F50" s="176">
        <f>+F51+F52+F53</f>
        <v>0</v>
      </c>
      <c r="G50" s="176">
        <f>+G51+G52+G53</f>
        <v>0</v>
      </c>
      <c r="H50" s="175">
        <v>0</v>
      </c>
      <c r="I50" s="13"/>
      <c r="J50" s="479" t="s">
        <v>57</v>
      </c>
      <c r="K50" s="508" t="s">
        <v>58</v>
      </c>
      <c r="L50" s="508"/>
      <c r="M50" s="156">
        <f>+M51+M52+M53</f>
        <v>0</v>
      </c>
      <c r="N50" s="156">
        <f>+N51+N52+N53</f>
        <v>0</v>
      </c>
      <c r="O50" s="154">
        <f>+O51+O52+O53</f>
        <v>0</v>
      </c>
      <c r="P50" s="175">
        <v>0</v>
      </c>
    </row>
    <row r="51" spans="1:16" s="1" customFormat="1" ht="18" customHeight="1" x14ac:dyDescent="0.2">
      <c r="A51" s="17"/>
      <c r="B51" s="483"/>
      <c r="C51" s="19" t="s">
        <v>1</v>
      </c>
      <c r="D51" s="20" t="s">
        <v>10</v>
      </c>
      <c r="E51" s="234">
        <f>+'2.'!E51+'3.'!E51</f>
        <v>0</v>
      </c>
      <c r="F51" s="234">
        <f>+'2.'!F51+'3.'!F51</f>
        <v>0</v>
      </c>
      <c r="G51" s="234">
        <f>+'2.'!G51+'3.'!G51</f>
        <v>0</v>
      </c>
      <c r="H51" s="178">
        <v>0</v>
      </c>
      <c r="I51" s="13"/>
      <c r="J51" s="480"/>
      <c r="K51" s="19" t="s">
        <v>1</v>
      </c>
      <c r="L51" s="20" t="s">
        <v>10</v>
      </c>
      <c r="M51" s="234">
        <f>+'2.'!M51+'3.'!M51</f>
        <v>0</v>
      </c>
      <c r="N51" s="234">
        <f>+'2.'!N51+'3.'!N51</f>
        <v>0</v>
      </c>
      <c r="O51" s="234">
        <f>+'2.'!O51+'3.'!O51</f>
        <v>0</v>
      </c>
      <c r="P51" s="178">
        <v>0</v>
      </c>
    </row>
    <row r="52" spans="1:16" s="1" customFormat="1" ht="18" customHeight="1" x14ac:dyDescent="0.2">
      <c r="A52" s="17"/>
      <c r="B52" s="483"/>
      <c r="C52" s="19" t="s">
        <v>2</v>
      </c>
      <c r="D52" s="20" t="s">
        <v>12</v>
      </c>
      <c r="E52" s="234">
        <f>+'2.'!E52+'3.'!E52</f>
        <v>0</v>
      </c>
      <c r="F52" s="234">
        <f>+'2.'!F52+'3.'!F52</f>
        <v>0</v>
      </c>
      <c r="G52" s="234">
        <f>+'2.'!G52+'3.'!G52</f>
        <v>0</v>
      </c>
      <c r="H52" s="178">
        <v>0</v>
      </c>
      <c r="I52" s="13"/>
      <c r="J52" s="480"/>
      <c r="K52" s="19" t="s">
        <v>2</v>
      </c>
      <c r="L52" s="20" t="s">
        <v>12</v>
      </c>
      <c r="M52" s="234">
        <f>+'2.'!M52+'3.'!M52</f>
        <v>0</v>
      </c>
      <c r="N52" s="234">
        <f>+'2.'!N52+'3.'!N52</f>
        <v>0</v>
      </c>
      <c r="O52" s="234">
        <f>+'2.'!O52+'3.'!O52</f>
        <v>0</v>
      </c>
      <c r="P52" s="178">
        <v>0</v>
      </c>
    </row>
    <row r="53" spans="1:16" s="1" customFormat="1" ht="18" customHeight="1" x14ac:dyDescent="0.2">
      <c r="A53" s="18"/>
      <c r="B53" s="484"/>
      <c r="C53" s="19" t="s">
        <v>4</v>
      </c>
      <c r="D53" s="20" t="s">
        <v>11</v>
      </c>
      <c r="E53" s="234">
        <f>+'2.'!E53+'3.'!E53</f>
        <v>0</v>
      </c>
      <c r="F53" s="234">
        <f>+'2.'!F53+'3.'!F53</f>
        <v>0</v>
      </c>
      <c r="G53" s="234">
        <f>+'2.'!G53+'3.'!G53</f>
        <v>0</v>
      </c>
      <c r="H53" s="178">
        <v>0</v>
      </c>
      <c r="I53" s="12"/>
      <c r="J53" s="481"/>
      <c r="K53" s="19" t="s">
        <v>4</v>
      </c>
      <c r="L53" s="20" t="s">
        <v>11</v>
      </c>
      <c r="M53" s="234">
        <f>+'2.'!M53+'3.'!M53</f>
        <v>0</v>
      </c>
      <c r="N53" s="234">
        <f>+'2.'!N53+'3.'!N53</f>
        <v>0</v>
      </c>
      <c r="O53" s="234">
        <f>+'2.'!O53+'3.'!O53</f>
        <v>0</v>
      </c>
      <c r="P53" s="178">
        <v>0</v>
      </c>
    </row>
    <row r="54" spans="1:16" s="1" customFormat="1" ht="18" customHeight="1" x14ac:dyDescent="0.2">
      <c r="A54" s="22" t="s">
        <v>3</v>
      </c>
      <c r="B54" s="527" t="s">
        <v>25</v>
      </c>
      <c r="C54" s="528"/>
      <c r="D54" s="529"/>
      <c r="E54" s="183">
        <f>+E55+E56+E57</f>
        <v>13274803</v>
      </c>
      <c r="F54" s="183">
        <f>+F55+F56+F57</f>
        <v>2664000</v>
      </c>
      <c r="G54" s="183">
        <f>+G55+G56+G57</f>
        <v>0</v>
      </c>
      <c r="H54" s="220">
        <f>+G54/F54*100</f>
        <v>0</v>
      </c>
      <c r="I54" s="23" t="s">
        <v>3</v>
      </c>
      <c r="J54" s="527" t="s">
        <v>18</v>
      </c>
      <c r="K54" s="528"/>
      <c r="L54" s="529"/>
      <c r="M54" s="171">
        <f>+M55+M56+M57</f>
        <v>228061020</v>
      </c>
      <c r="N54" s="171">
        <f>+N55+N56+N57</f>
        <v>245651344</v>
      </c>
      <c r="O54" s="191">
        <f>+O55+O56+O57</f>
        <v>158069323</v>
      </c>
      <c r="P54" s="226">
        <f>+O54/N54*100</f>
        <v>64.347021443530139</v>
      </c>
    </row>
    <row r="55" spans="1:16" s="1" customFormat="1" ht="18" customHeight="1" x14ac:dyDescent="0.2">
      <c r="A55" s="24"/>
      <c r="B55" s="522" t="s">
        <v>74</v>
      </c>
      <c r="C55" s="25" t="s">
        <v>1</v>
      </c>
      <c r="D55" s="26" t="s">
        <v>10</v>
      </c>
      <c r="E55" s="181">
        <f t="shared" ref="E55:G57" si="7">+E51+E47+E43</f>
        <v>13274803</v>
      </c>
      <c r="F55" s="181">
        <f t="shared" si="7"/>
        <v>2664000</v>
      </c>
      <c r="G55" s="181">
        <f t="shared" si="7"/>
        <v>0</v>
      </c>
      <c r="H55" s="221">
        <f t="shared" ref="H55" si="8">+G55/F55*100</f>
        <v>0</v>
      </c>
      <c r="I55" s="28"/>
      <c r="J55" s="518" t="s">
        <v>59</v>
      </c>
      <c r="K55" s="25" t="s">
        <v>1</v>
      </c>
      <c r="L55" s="26" t="s">
        <v>10</v>
      </c>
      <c r="M55" s="173">
        <f t="shared" ref="M55:O57" si="9">+M51+M47+M43</f>
        <v>228061020</v>
      </c>
      <c r="N55" s="173">
        <f t="shared" si="9"/>
        <v>245651344</v>
      </c>
      <c r="O55" s="186">
        <f t="shared" si="9"/>
        <v>158069323</v>
      </c>
      <c r="P55" s="227">
        <f t="shared" ref="P55" si="10">+O55/N55*100</f>
        <v>64.347021443530139</v>
      </c>
    </row>
    <row r="56" spans="1:16" s="1" customFormat="1" ht="18" customHeight="1" x14ac:dyDescent="0.2">
      <c r="A56" s="24"/>
      <c r="B56" s="523"/>
      <c r="C56" s="25" t="s">
        <v>2</v>
      </c>
      <c r="D56" s="26" t="s">
        <v>12</v>
      </c>
      <c r="E56" s="181">
        <f t="shared" si="7"/>
        <v>0</v>
      </c>
      <c r="F56" s="181">
        <f t="shared" si="7"/>
        <v>0</v>
      </c>
      <c r="G56" s="181">
        <f t="shared" si="7"/>
        <v>0</v>
      </c>
      <c r="H56" s="221">
        <v>0</v>
      </c>
      <c r="I56" s="28"/>
      <c r="J56" s="518"/>
      <c r="K56" s="25" t="s">
        <v>2</v>
      </c>
      <c r="L56" s="26" t="s">
        <v>12</v>
      </c>
      <c r="M56" s="186">
        <f t="shared" si="9"/>
        <v>0</v>
      </c>
      <c r="N56" s="186">
        <f t="shared" si="9"/>
        <v>0</v>
      </c>
      <c r="O56" s="186">
        <f t="shared" si="9"/>
        <v>0</v>
      </c>
      <c r="P56" s="227">
        <f t="shared" ref="P56:P57" si="11">P44+P48+P52</f>
        <v>0</v>
      </c>
    </row>
    <row r="57" spans="1:16" s="1" customFormat="1" ht="18" customHeight="1" x14ac:dyDescent="0.2">
      <c r="A57" s="24"/>
      <c r="B57" s="523"/>
      <c r="C57" s="30" t="s">
        <v>4</v>
      </c>
      <c r="D57" s="31" t="s">
        <v>11</v>
      </c>
      <c r="E57" s="236">
        <f t="shared" si="7"/>
        <v>0</v>
      </c>
      <c r="F57" s="236">
        <f t="shared" si="7"/>
        <v>0</v>
      </c>
      <c r="G57" s="236">
        <f t="shared" si="7"/>
        <v>0</v>
      </c>
      <c r="H57" s="221">
        <v>0</v>
      </c>
      <c r="I57" s="28"/>
      <c r="J57" s="518"/>
      <c r="K57" s="25" t="s">
        <v>4</v>
      </c>
      <c r="L57" s="26" t="s">
        <v>11</v>
      </c>
      <c r="M57" s="186">
        <f t="shared" si="9"/>
        <v>0</v>
      </c>
      <c r="N57" s="186">
        <f t="shared" si="9"/>
        <v>0</v>
      </c>
      <c r="O57" s="186">
        <f t="shared" si="9"/>
        <v>0</v>
      </c>
      <c r="P57" s="228">
        <f t="shared" si="11"/>
        <v>0</v>
      </c>
    </row>
    <row r="58" spans="1:16" s="39" customFormat="1" ht="31.5" customHeight="1" thickBot="1" x14ac:dyDescent="0.25">
      <c r="A58" s="513" t="s">
        <v>91</v>
      </c>
      <c r="B58" s="514"/>
      <c r="C58" s="514"/>
      <c r="D58" s="514"/>
      <c r="E58" s="346">
        <f>M54-E54</f>
        <v>214786217</v>
      </c>
      <c r="F58" s="346">
        <f>N55-F55</f>
        <v>242987344</v>
      </c>
      <c r="G58" s="346">
        <f>O54-G54</f>
        <v>158069323</v>
      </c>
      <c r="H58" s="346"/>
      <c r="I58" s="513" t="s">
        <v>92</v>
      </c>
      <c r="J58" s="514"/>
      <c r="K58" s="514"/>
      <c r="L58" s="514"/>
      <c r="M58" s="346"/>
      <c r="N58" s="346"/>
      <c r="O58" s="325"/>
      <c r="P58" s="331"/>
    </row>
    <row r="59" spans="1:16" s="1" customFormat="1" ht="18" customHeight="1" x14ac:dyDescent="0.2">
      <c r="A59" s="32" t="s">
        <v>34</v>
      </c>
      <c r="B59" s="469" t="s">
        <v>35</v>
      </c>
      <c r="C59" s="470"/>
      <c r="D59" s="471"/>
      <c r="E59" s="187">
        <f>E60+E61+E62</f>
        <v>1108998071</v>
      </c>
      <c r="F59" s="187">
        <f>F60+F61+F62</f>
        <v>1116278223</v>
      </c>
      <c r="G59" s="187">
        <f>G60+G61+G62</f>
        <v>905339232</v>
      </c>
      <c r="H59" s="222">
        <f>+G59/F59*100</f>
        <v>81.10336772197337</v>
      </c>
      <c r="I59" s="32" t="s">
        <v>34</v>
      </c>
      <c r="J59" s="475" t="s">
        <v>37</v>
      </c>
      <c r="K59" s="476"/>
      <c r="L59" s="476"/>
      <c r="M59" s="187">
        <f>M60+M61+M62</f>
        <v>1235264217</v>
      </c>
      <c r="N59" s="187">
        <f>N60+N61+N62</f>
        <v>1876058379</v>
      </c>
      <c r="O59" s="187">
        <f>O60+O61+O62</f>
        <v>1175365344</v>
      </c>
      <c r="P59" s="229">
        <f>+O59/N59*100</f>
        <v>62.650787265293303</v>
      </c>
    </row>
    <row r="60" spans="1:16" s="1" customFormat="1" ht="18" customHeight="1" x14ac:dyDescent="0.2">
      <c r="A60" s="24"/>
      <c r="B60" s="519" t="s">
        <v>76</v>
      </c>
      <c r="C60" s="25" t="s">
        <v>1</v>
      </c>
      <c r="D60" s="26" t="s">
        <v>10</v>
      </c>
      <c r="E60" s="188">
        <f t="shared" ref="E60:G62" si="12">E36+E55</f>
        <v>1108863071</v>
      </c>
      <c r="F60" s="188">
        <f t="shared" si="12"/>
        <v>1116181223</v>
      </c>
      <c r="G60" s="188">
        <f t="shared" si="12"/>
        <v>905242232</v>
      </c>
      <c r="H60" s="223">
        <f>+G60/F60*100</f>
        <v>81.10172553941986</v>
      </c>
      <c r="I60" s="466"/>
      <c r="J60" s="468" t="s">
        <v>75</v>
      </c>
      <c r="K60" s="25" t="s">
        <v>1</v>
      </c>
      <c r="L60" s="26" t="s">
        <v>10</v>
      </c>
      <c r="M60" s="173">
        <f t="shared" ref="M60:O61" si="13">M36+M55</f>
        <v>1227336173</v>
      </c>
      <c r="N60" s="173">
        <f t="shared" si="13"/>
        <v>1862110037</v>
      </c>
      <c r="O60" s="173">
        <f t="shared" si="13"/>
        <v>1168452844</v>
      </c>
      <c r="P60" s="228">
        <f>+O60/N60*100</f>
        <v>62.748861280102751</v>
      </c>
    </row>
    <row r="61" spans="1:16" s="1" customFormat="1" ht="18" customHeight="1" x14ac:dyDescent="0.2">
      <c r="A61" s="24"/>
      <c r="B61" s="520"/>
      <c r="C61" s="25" t="s">
        <v>2</v>
      </c>
      <c r="D61" s="26" t="s">
        <v>12</v>
      </c>
      <c r="E61" s="188">
        <f t="shared" si="12"/>
        <v>0</v>
      </c>
      <c r="F61" s="188">
        <f t="shared" si="12"/>
        <v>0</v>
      </c>
      <c r="G61" s="188">
        <f t="shared" si="12"/>
        <v>0</v>
      </c>
      <c r="H61" s="223">
        <v>0</v>
      </c>
      <c r="I61" s="466"/>
      <c r="J61" s="468"/>
      <c r="K61" s="25" t="s">
        <v>2</v>
      </c>
      <c r="L61" s="26" t="s">
        <v>12</v>
      </c>
      <c r="M61" s="173">
        <f t="shared" si="13"/>
        <v>7928044</v>
      </c>
      <c r="N61" s="173">
        <f t="shared" si="13"/>
        <v>13948342</v>
      </c>
      <c r="O61" s="173">
        <f t="shared" si="13"/>
        <v>6912500</v>
      </c>
      <c r="P61" s="228">
        <f>+O61/N61*100</f>
        <v>49.557861428978441</v>
      </c>
    </row>
    <row r="62" spans="1:16" s="1" customFormat="1" ht="18" customHeight="1" x14ac:dyDescent="0.2">
      <c r="A62" s="27"/>
      <c r="B62" s="521"/>
      <c r="C62" s="25" t="s">
        <v>4</v>
      </c>
      <c r="D62" s="26" t="s">
        <v>11</v>
      </c>
      <c r="E62" s="188">
        <f t="shared" si="12"/>
        <v>135000</v>
      </c>
      <c r="F62" s="188">
        <f t="shared" si="12"/>
        <v>97000</v>
      </c>
      <c r="G62" s="188">
        <f t="shared" si="12"/>
        <v>97000</v>
      </c>
      <c r="H62" s="223">
        <f>+G62/F62*100</f>
        <v>100</v>
      </c>
      <c r="I62" s="467"/>
      <c r="J62" s="468"/>
      <c r="K62" s="25" t="s">
        <v>4</v>
      </c>
      <c r="L62" s="26" t="s">
        <v>11</v>
      </c>
      <c r="M62" s="173">
        <f>+M38+M57</f>
        <v>0</v>
      </c>
      <c r="N62" s="173">
        <f>+N38+N57</f>
        <v>0</v>
      </c>
      <c r="O62" s="173">
        <f>+O38+O57</f>
        <v>0</v>
      </c>
      <c r="P62" s="227">
        <f t="shared" ref="P62" si="14">P38+P57</f>
        <v>0</v>
      </c>
    </row>
    <row r="63" spans="1:16" s="9" customFormat="1" ht="30" customHeight="1" thickBot="1" x14ac:dyDescent="0.25">
      <c r="A63" s="472" t="s">
        <v>63</v>
      </c>
      <c r="B63" s="473"/>
      <c r="C63" s="473"/>
      <c r="D63" s="474"/>
      <c r="E63" s="341">
        <f>M59-E59</f>
        <v>126266146</v>
      </c>
      <c r="F63" s="341">
        <f>N59-F59</f>
        <v>759780156</v>
      </c>
      <c r="G63" s="341">
        <f>O59-G59</f>
        <v>270026112</v>
      </c>
      <c r="H63" s="341"/>
      <c r="I63" s="472" t="s">
        <v>64</v>
      </c>
      <c r="J63" s="473"/>
      <c r="K63" s="473"/>
      <c r="L63" s="474"/>
      <c r="M63" s="329"/>
      <c r="N63" s="340"/>
      <c r="O63" s="341"/>
      <c r="P63" s="347"/>
    </row>
    <row r="64" spans="1:16" s="1" customFormat="1" ht="18" customHeight="1" x14ac:dyDescent="0.2">
      <c r="A64" s="58" t="s">
        <v>38</v>
      </c>
      <c r="B64" s="515" t="s">
        <v>36</v>
      </c>
      <c r="C64" s="516"/>
      <c r="D64" s="517"/>
      <c r="E64" s="189">
        <f>E65+E66</f>
        <v>910934302</v>
      </c>
      <c r="F64" s="189">
        <f>F65+F66</f>
        <v>784668156</v>
      </c>
      <c r="G64" s="189">
        <f>G65+G66</f>
        <v>784668156</v>
      </c>
      <c r="H64" s="194">
        <f>+G64/F64*100</f>
        <v>100</v>
      </c>
      <c r="I64" s="58" t="s">
        <v>38</v>
      </c>
      <c r="J64" s="515" t="s">
        <v>48</v>
      </c>
      <c r="K64" s="516"/>
      <c r="L64" s="517"/>
      <c r="M64" s="247">
        <f>+M65+M66</f>
        <v>12444000</v>
      </c>
      <c r="N64" s="247">
        <f>+N65+N66</f>
        <v>24888000</v>
      </c>
      <c r="O64" s="189">
        <f>+O65+O66</f>
        <v>12444000</v>
      </c>
      <c r="P64" s="231">
        <f>+O64/N64*100</f>
        <v>50</v>
      </c>
    </row>
    <row r="65" spans="1:16" s="1" customFormat="1" ht="18" customHeight="1" x14ac:dyDescent="0.2">
      <c r="A65" s="29"/>
      <c r="B65" s="464" t="s">
        <v>65</v>
      </c>
      <c r="C65" s="19" t="s">
        <v>1</v>
      </c>
      <c r="D65" s="20" t="s">
        <v>77</v>
      </c>
      <c r="E65" s="234">
        <f>+'2.'!E65+'3.'!E65</f>
        <v>898490302</v>
      </c>
      <c r="F65" s="234">
        <f>+'2.'!F65+'3.'!F65</f>
        <v>772224156</v>
      </c>
      <c r="G65" s="234">
        <f>+'2.'!G65+'3.'!G65</f>
        <v>772224156</v>
      </c>
      <c r="H65" s="160">
        <f t="shared" ref="H65:H70" si="15">+G65/F65*100</f>
        <v>100</v>
      </c>
      <c r="I65" s="29"/>
      <c r="J65" s="464" t="s">
        <v>60</v>
      </c>
      <c r="K65" s="19" t="s">
        <v>1</v>
      </c>
      <c r="L65" s="20" t="s">
        <v>80</v>
      </c>
      <c r="M65" s="235">
        <v>0</v>
      </c>
      <c r="N65" s="235">
        <v>0</v>
      </c>
      <c r="O65" s="235">
        <v>0</v>
      </c>
      <c r="P65" s="232">
        <v>0</v>
      </c>
    </row>
    <row r="66" spans="1:16" s="1" customFormat="1" ht="18" customHeight="1" x14ac:dyDescent="0.2">
      <c r="A66" s="29"/>
      <c r="B66" s="465"/>
      <c r="C66" s="19" t="s">
        <v>2</v>
      </c>
      <c r="D66" s="20" t="s">
        <v>78</v>
      </c>
      <c r="E66" s="234">
        <f>+'2.'!E66</f>
        <v>12444000</v>
      </c>
      <c r="F66" s="234">
        <f>+'2.'!F66</f>
        <v>12444000</v>
      </c>
      <c r="G66" s="234">
        <f>+'2.'!G66</f>
        <v>12444000</v>
      </c>
      <c r="H66" s="160">
        <f>G66/F66*100</f>
        <v>100</v>
      </c>
      <c r="I66" s="29"/>
      <c r="J66" s="465"/>
      <c r="K66" s="19" t="s">
        <v>2</v>
      </c>
      <c r="L66" s="34" t="s">
        <v>79</v>
      </c>
      <c r="M66" s="235">
        <f>+'2.'!M66</f>
        <v>12444000</v>
      </c>
      <c r="N66" s="235">
        <f>+'2.'!N66</f>
        <v>24888000</v>
      </c>
      <c r="O66" s="235">
        <f>+'2.'!O66</f>
        <v>12444000</v>
      </c>
      <c r="P66" s="232">
        <f t="shared" ref="P66" si="16">+O66/N66*100</f>
        <v>50</v>
      </c>
    </row>
    <row r="67" spans="1:16" s="7" customFormat="1" ht="18" customHeight="1" x14ac:dyDescent="0.2">
      <c r="A67" s="348" t="s">
        <v>39</v>
      </c>
      <c r="B67" s="490" t="s">
        <v>28</v>
      </c>
      <c r="C67" s="491"/>
      <c r="D67" s="492"/>
      <c r="E67" s="349">
        <f>E68+E69+E70</f>
        <v>2019932373</v>
      </c>
      <c r="F67" s="349">
        <f>+F68+F69+F70</f>
        <v>1900946379</v>
      </c>
      <c r="G67" s="349">
        <f>+G68+G69+G70</f>
        <v>1690007388</v>
      </c>
      <c r="H67" s="350">
        <f t="shared" si="15"/>
        <v>88.903474956986145</v>
      </c>
      <c r="I67" s="351" t="s">
        <v>39</v>
      </c>
      <c r="J67" s="490" t="s">
        <v>29</v>
      </c>
      <c r="K67" s="491"/>
      <c r="L67" s="492"/>
      <c r="M67" s="349">
        <f>M68+M69+M70</f>
        <v>1247708217</v>
      </c>
      <c r="N67" s="349">
        <f>N68+N69+N70</f>
        <v>1900946379</v>
      </c>
      <c r="O67" s="349">
        <f>O68+O69+O70</f>
        <v>1187809344</v>
      </c>
      <c r="P67" s="352">
        <f>+O67/N67*100</f>
        <v>62.485157767829911</v>
      </c>
    </row>
    <row r="68" spans="1:16" s="7" customFormat="1" ht="18" customHeight="1" x14ac:dyDescent="0.2">
      <c r="A68" s="353"/>
      <c r="B68" s="524" t="s">
        <v>62</v>
      </c>
      <c r="C68" s="354" t="s">
        <v>1</v>
      </c>
      <c r="D68" s="355" t="s">
        <v>10</v>
      </c>
      <c r="E68" s="356">
        <f>'2.'!E68+'3.'!E68-'2.'!M65</f>
        <v>2019797373</v>
      </c>
      <c r="F68" s="356">
        <f>+F60+F64</f>
        <v>1900849379</v>
      </c>
      <c r="G68" s="356">
        <f>+G60+G64</f>
        <v>1689910388</v>
      </c>
      <c r="H68" s="357">
        <f t="shared" si="15"/>
        <v>88.90290870332025</v>
      </c>
      <c r="I68" s="358"/>
      <c r="J68" s="524" t="s">
        <v>61</v>
      </c>
      <c r="K68" s="354" t="s">
        <v>1</v>
      </c>
      <c r="L68" s="355" t="s">
        <v>10</v>
      </c>
      <c r="M68" s="359">
        <f>+M60+M64</f>
        <v>1239780173</v>
      </c>
      <c r="N68" s="359">
        <f>+N60+N64</f>
        <v>1886998037</v>
      </c>
      <c r="O68" s="359">
        <f>+O60+O64</f>
        <v>1180896844</v>
      </c>
      <c r="P68" s="360">
        <f t="shared" ref="P68:P69" si="17">+O68/N68*100</f>
        <v>62.580713961813196</v>
      </c>
    </row>
    <row r="69" spans="1:16" s="7" customFormat="1" ht="18" customHeight="1" x14ac:dyDescent="0.2">
      <c r="A69" s="353"/>
      <c r="B69" s="525"/>
      <c r="C69" s="354" t="s">
        <v>2</v>
      </c>
      <c r="D69" s="355" t="s">
        <v>12</v>
      </c>
      <c r="E69" s="356">
        <f>'2.'!E69+'3.'!E69</f>
        <v>0</v>
      </c>
      <c r="F69" s="356">
        <f>+F61</f>
        <v>0</v>
      </c>
      <c r="G69" s="356">
        <f>+G61</f>
        <v>0</v>
      </c>
      <c r="H69" s="357">
        <v>0</v>
      </c>
      <c r="I69" s="358"/>
      <c r="J69" s="525"/>
      <c r="K69" s="354" t="s">
        <v>2</v>
      </c>
      <c r="L69" s="355" t="s">
        <v>12</v>
      </c>
      <c r="M69" s="359">
        <f>M61</f>
        <v>7928044</v>
      </c>
      <c r="N69" s="359">
        <f>N61</f>
        <v>13948342</v>
      </c>
      <c r="O69" s="356">
        <f>O61</f>
        <v>6912500</v>
      </c>
      <c r="P69" s="360">
        <f t="shared" si="17"/>
        <v>49.557861428978441</v>
      </c>
    </row>
    <row r="70" spans="1:16" s="7" customFormat="1" ht="18" customHeight="1" thickBot="1" x14ac:dyDescent="0.25">
      <c r="A70" s="361"/>
      <c r="B70" s="526"/>
      <c r="C70" s="362" t="s">
        <v>4</v>
      </c>
      <c r="D70" s="363" t="s">
        <v>11</v>
      </c>
      <c r="E70" s="364">
        <f t="shared" ref="E70" si="18">E62</f>
        <v>135000</v>
      </c>
      <c r="F70" s="364">
        <f>F62</f>
        <v>97000</v>
      </c>
      <c r="G70" s="364">
        <f>G62</f>
        <v>97000</v>
      </c>
      <c r="H70" s="365">
        <f t="shared" si="15"/>
        <v>100</v>
      </c>
      <c r="I70" s="366"/>
      <c r="J70" s="526"/>
      <c r="K70" s="362" t="s">
        <v>4</v>
      </c>
      <c r="L70" s="363" t="s">
        <v>11</v>
      </c>
      <c r="M70" s="367">
        <v>0</v>
      </c>
      <c r="N70" s="367">
        <v>0</v>
      </c>
      <c r="O70" s="364">
        <v>0</v>
      </c>
      <c r="P70" s="368">
        <v>0</v>
      </c>
    </row>
    <row r="72" spans="1:16" x14ac:dyDescent="0.2">
      <c r="A72" s="509"/>
      <c r="B72" s="509"/>
      <c r="C72" s="509"/>
      <c r="D72" s="509"/>
      <c r="E72" s="509"/>
      <c r="F72" s="15"/>
      <c r="G72" s="11"/>
      <c r="H72" s="15"/>
      <c r="O72" s="11"/>
      <c r="P72" s="15"/>
    </row>
  </sheetData>
  <sheetProtection formatCells="0"/>
  <mergeCells count="78">
    <mergeCell ref="L2:P2"/>
    <mergeCell ref="B25:B28"/>
    <mergeCell ref="K42:L42"/>
    <mergeCell ref="B41:D41"/>
    <mergeCell ref="J25:J28"/>
    <mergeCell ref="A3:P3"/>
    <mergeCell ref="A4:P4"/>
    <mergeCell ref="A5:P5"/>
    <mergeCell ref="A6:P6"/>
    <mergeCell ref="A7:P7"/>
    <mergeCell ref="C21:D21"/>
    <mergeCell ref="C13:D13"/>
    <mergeCell ref="K13:L13"/>
    <mergeCell ref="B12:D12"/>
    <mergeCell ref="B13:B16"/>
    <mergeCell ref="B17:B20"/>
    <mergeCell ref="B54:D54"/>
    <mergeCell ref="J29:J34"/>
    <mergeCell ref="B36:B38"/>
    <mergeCell ref="J54:L54"/>
    <mergeCell ref="K50:L50"/>
    <mergeCell ref="C42:D42"/>
    <mergeCell ref="B42:B45"/>
    <mergeCell ref="J36:J38"/>
    <mergeCell ref="I36:I38"/>
    <mergeCell ref="A29:H34"/>
    <mergeCell ref="K29:L29"/>
    <mergeCell ref="B35:D35"/>
    <mergeCell ref="J41:L41"/>
    <mergeCell ref="J42:J45"/>
    <mergeCell ref="K21:L21"/>
    <mergeCell ref="A72:E72"/>
    <mergeCell ref="A39:D39"/>
    <mergeCell ref="I39:L39"/>
    <mergeCell ref="A58:D58"/>
    <mergeCell ref="I58:L58"/>
    <mergeCell ref="B64:D64"/>
    <mergeCell ref="J55:J57"/>
    <mergeCell ref="B60:B62"/>
    <mergeCell ref="J64:L64"/>
    <mergeCell ref="C46:D46"/>
    <mergeCell ref="K46:L46"/>
    <mergeCell ref="B55:B57"/>
    <mergeCell ref="B68:B70"/>
    <mergeCell ref="J68:J70"/>
    <mergeCell ref="B67:D67"/>
    <mergeCell ref="J67:L67"/>
    <mergeCell ref="L1:P1"/>
    <mergeCell ref="C10:D10"/>
    <mergeCell ref="K10:L10"/>
    <mergeCell ref="C25:D25"/>
    <mergeCell ref="K25:L25"/>
    <mergeCell ref="J21:J24"/>
    <mergeCell ref="C17:D17"/>
    <mergeCell ref="K17:L17"/>
    <mergeCell ref="J12:L12"/>
    <mergeCell ref="A11:P11"/>
    <mergeCell ref="J13:J16"/>
    <mergeCell ref="J17:J20"/>
    <mergeCell ref="B21:B24"/>
    <mergeCell ref="A9:H9"/>
    <mergeCell ref="I9:P9"/>
    <mergeCell ref="D8:L8"/>
    <mergeCell ref="B65:B66"/>
    <mergeCell ref="I60:I62"/>
    <mergeCell ref="J60:J62"/>
    <mergeCell ref="B59:D59"/>
    <mergeCell ref="A63:D63"/>
    <mergeCell ref="I63:L63"/>
    <mergeCell ref="J59:L59"/>
    <mergeCell ref="J65:J66"/>
    <mergeCell ref="C50:D50"/>
    <mergeCell ref="J46:J49"/>
    <mergeCell ref="J50:J53"/>
    <mergeCell ref="B50:B53"/>
    <mergeCell ref="J35:L35"/>
    <mergeCell ref="A40:P40"/>
    <mergeCell ref="B46:B49"/>
  </mergeCells>
  <phoneticPr fontId="9" type="noConversion"/>
  <printOptions horizontalCentered="1"/>
  <pageMargins left="0.19685039370078741" right="0.19685039370078741" top="3.937007874015748E-2" bottom="0" header="0.43307086614173229" footer="0.51181102362204722"/>
  <pageSetup paperSize="9" scale="70" orientation="landscape" r:id="rId1"/>
  <headerFooter alignWithMargins="0"/>
  <rowBreaks count="1" manualBreakCount="1">
    <brk id="3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8DA1-4A2D-4288-A9E7-DB6BB246D34B}">
  <sheetPr>
    <tabColor theme="6" tint="0.59999389629810485"/>
  </sheetPr>
  <dimension ref="A1:M154"/>
  <sheetViews>
    <sheetView topLeftCell="A117" zoomScaleNormal="100" zoomScaleSheetLayoutView="100" workbookViewId="0">
      <selection activeCell="S86" sqref="S86"/>
    </sheetView>
  </sheetViews>
  <sheetFormatPr defaultRowHeight="15.75" x14ac:dyDescent="0.25"/>
  <cols>
    <col min="1" max="1" width="5.5703125" style="95" customWidth="1"/>
    <col min="2" max="2" width="36.85546875" style="138" customWidth="1"/>
    <col min="3" max="3" width="12.85546875" style="63" customWidth="1"/>
    <col min="4" max="4" width="13" style="63" customWidth="1"/>
    <col min="5" max="5" width="14.42578125" style="63" customWidth="1"/>
    <col min="6" max="6" width="11.5703125" style="63" customWidth="1"/>
    <col min="7" max="7" width="11.28515625" style="63" customWidth="1"/>
    <col min="8" max="8" width="12.28515625" style="63" customWidth="1"/>
    <col min="9" max="9" width="12.42578125" style="63" customWidth="1"/>
    <col min="10" max="10" width="13.140625" style="63" customWidth="1"/>
    <col min="11" max="11" width="12.140625" style="63" customWidth="1"/>
    <col min="12" max="12" width="13.7109375" style="63" customWidth="1"/>
    <col min="13" max="205" width="9.140625" style="63"/>
    <col min="206" max="206" width="5.5703125" style="63" customWidth="1"/>
    <col min="207" max="207" width="24.140625" style="63" customWidth="1"/>
    <col min="208" max="208" width="81.42578125" style="63" customWidth="1"/>
    <col min="209" max="211" width="3.7109375" style="63" customWidth="1"/>
    <col min="212" max="212" width="10.85546875" style="63" customWidth="1"/>
    <col min="213" max="213" width="11.7109375" style="63" customWidth="1"/>
    <col min="214" max="461" width="9.140625" style="63"/>
    <col min="462" max="462" width="5.5703125" style="63" customWidth="1"/>
    <col min="463" max="463" width="24.140625" style="63" customWidth="1"/>
    <col min="464" max="464" width="81.42578125" style="63" customWidth="1"/>
    <col min="465" max="467" width="3.7109375" style="63" customWidth="1"/>
    <col min="468" max="468" width="10.85546875" style="63" customWidth="1"/>
    <col min="469" max="469" width="11.7109375" style="63" customWidth="1"/>
    <col min="470" max="717" width="9.140625" style="63"/>
    <col min="718" max="718" width="5.5703125" style="63" customWidth="1"/>
    <col min="719" max="719" width="24.140625" style="63" customWidth="1"/>
    <col min="720" max="720" width="81.42578125" style="63" customWidth="1"/>
    <col min="721" max="723" width="3.7109375" style="63" customWidth="1"/>
    <col min="724" max="724" width="10.85546875" style="63" customWidth="1"/>
    <col min="725" max="725" width="11.7109375" style="63" customWidth="1"/>
    <col min="726" max="973" width="9.140625" style="63"/>
    <col min="974" max="974" width="5.5703125" style="63" customWidth="1"/>
    <col min="975" max="975" width="24.140625" style="63" customWidth="1"/>
    <col min="976" max="976" width="81.42578125" style="63" customWidth="1"/>
    <col min="977" max="979" width="3.7109375" style="63" customWidth="1"/>
    <col min="980" max="980" width="10.85546875" style="63" customWidth="1"/>
    <col min="981" max="981" width="11.7109375" style="63" customWidth="1"/>
    <col min="982" max="1229" width="9.140625" style="63"/>
    <col min="1230" max="1230" width="5.5703125" style="63" customWidth="1"/>
    <col min="1231" max="1231" width="24.140625" style="63" customWidth="1"/>
    <col min="1232" max="1232" width="81.42578125" style="63" customWidth="1"/>
    <col min="1233" max="1235" width="3.7109375" style="63" customWidth="1"/>
    <col min="1236" max="1236" width="10.85546875" style="63" customWidth="1"/>
    <col min="1237" max="1237" width="11.7109375" style="63" customWidth="1"/>
    <col min="1238" max="1485" width="9.140625" style="63"/>
    <col min="1486" max="1486" width="5.5703125" style="63" customWidth="1"/>
    <col min="1487" max="1487" width="24.140625" style="63" customWidth="1"/>
    <col min="1488" max="1488" width="81.42578125" style="63" customWidth="1"/>
    <col min="1489" max="1491" width="3.7109375" style="63" customWidth="1"/>
    <col min="1492" max="1492" width="10.85546875" style="63" customWidth="1"/>
    <col min="1493" max="1493" width="11.7109375" style="63" customWidth="1"/>
    <col min="1494" max="1741" width="9.140625" style="63"/>
    <col min="1742" max="1742" width="5.5703125" style="63" customWidth="1"/>
    <col min="1743" max="1743" width="24.140625" style="63" customWidth="1"/>
    <col min="1744" max="1744" width="81.42578125" style="63" customWidth="1"/>
    <col min="1745" max="1747" width="3.7109375" style="63" customWidth="1"/>
    <col min="1748" max="1748" width="10.85546875" style="63" customWidth="1"/>
    <col min="1749" max="1749" width="11.7109375" style="63" customWidth="1"/>
    <col min="1750" max="1997" width="9.140625" style="63"/>
    <col min="1998" max="1998" width="5.5703125" style="63" customWidth="1"/>
    <col min="1999" max="1999" width="24.140625" style="63" customWidth="1"/>
    <col min="2000" max="2000" width="81.42578125" style="63" customWidth="1"/>
    <col min="2001" max="2003" width="3.7109375" style="63" customWidth="1"/>
    <col min="2004" max="2004" width="10.85546875" style="63" customWidth="1"/>
    <col min="2005" max="2005" width="11.7109375" style="63" customWidth="1"/>
    <col min="2006" max="2253" width="9.140625" style="63"/>
    <col min="2254" max="2254" width="5.5703125" style="63" customWidth="1"/>
    <col min="2255" max="2255" width="24.140625" style="63" customWidth="1"/>
    <col min="2256" max="2256" width="81.42578125" style="63" customWidth="1"/>
    <col min="2257" max="2259" width="3.7109375" style="63" customWidth="1"/>
    <col min="2260" max="2260" width="10.85546875" style="63" customWidth="1"/>
    <col min="2261" max="2261" width="11.7109375" style="63" customWidth="1"/>
    <col min="2262" max="2509" width="9.140625" style="63"/>
    <col min="2510" max="2510" width="5.5703125" style="63" customWidth="1"/>
    <col min="2511" max="2511" width="24.140625" style="63" customWidth="1"/>
    <col min="2512" max="2512" width="81.42578125" style="63" customWidth="1"/>
    <col min="2513" max="2515" width="3.7109375" style="63" customWidth="1"/>
    <col min="2516" max="2516" width="10.85546875" style="63" customWidth="1"/>
    <col min="2517" max="2517" width="11.7109375" style="63" customWidth="1"/>
    <col min="2518" max="2765" width="9.140625" style="63"/>
    <col min="2766" max="2766" width="5.5703125" style="63" customWidth="1"/>
    <col min="2767" max="2767" width="24.140625" style="63" customWidth="1"/>
    <col min="2768" max="2768" width="81.42578125" style="63" customWidth="1"/>
    <col min="2769" max="2771" width="3.7109375" style="63" customWidth="1"/>
    <col min="2772" max="2772" width="10.85546875" style="63" customWidth="1"/>
    <col min="2773" max="2773" width="11.7109375" style="63" customWidth="1"/>
    <col min="2774" max="3021" width="9.140625" style="63"/>
    <col min="3022" max="3022" width="5.5703125" style="63" customWidth="1"/>
    <col min="3023" max="3023" width="24.140625" style="63" customWidth="1"/>
    <col min="3024" max="3024" width="81.42578125" style="63" customWidth="1"/>
    <col min="3025" max="3027" width="3.7109375" style="63" customWidth="1"/>
    <col min="3028" max="3028" width="10.85546875" style="63" customWidth="1"/>
    <col min="3029" max="3029" width="11.7109375" style="63" customWidth="1"/>
    <col min="3030" max="3277" width="9.140625" style="63"/>
    <col min="3278" max="3278" width="5.5703125" style="63" customWidth="1"/>
    <col min="3279" max="3279" width="24.140625" style="63" customWidth="1"/>
    <col min="3280" max="3280" width="81.42578125" style="63" customWidth="1"/>
    <col min="3281" max="3283" width="3.7109375" style="63" customWidth="1"/>
    <col min="3284" max="3284" width="10.85546875" style="63" customWidth="1"/>
    <col min="3285" max="3285" width="11.7109375" style="63" customWidth="1"/>
    <col min="3286" max="3533" width="9.140625" style="63"/>
    <col min="3534" max="3534" width="5.5703125" style="63" customWidth="1"/>
    <col min="3535" max="3535" width="24.140625" style="63" customWidth="1"/>
    <col min="3536" max="3536" width="81.42578125" style="63" customWidth="1"/>
    <col min="3537" max="3539" width="3.7109375" style="63" customWidth="1"/>
    <col min="3540" max="3540" width="10.85546875" style="63" customWidth="1"/>
    <col min="3541" max="3541" width="11.7109375" style="63" customWidth="1"/>
    <col min="3542" max="3789" width="9.140625" style="63"/>
    <col min="3790" max="3790" width="5.5703125" style="63" customWidth="1"/>
    <col min="3791" max="3791" width="24.140625" style="63" customWidth="1"/>
    <col min="3792" max="3792" width="81.42578125" style="63" customWidth="1"/>
    <col min="3793" max="3795" width="3.7109375" style="63" customWidth="1"/>
    <col min="3796" max="3796" width="10.85546875" style="63" customWidth="1"/>
    <col min="3797" max="3797" width="11.7109375" style="63" customWidth="1"/>
    <col min="3798" max="4045" width="9.140625" style="63"/>
    <col min="4046" max="4046" width="5.5703125" style="63" customWidth="1"/>
    <col min="4047" max="4047" width="24.140625" style="63" customWidth="1"/>
    <col min="4048" max="4048" width="81.42578125" style="63" customWidth="1"/>
    <col min="4049" max="4051" width="3.7109375" style="63" customWidth="1"/>
    <col min="4052" max="4052" width="10.85546875" style="63" customWidth="1"/>
    <col min="4053" max="4053" width="11.7109375" style="63" customWidth="1"/>
    <col min="4054" max="4301" width="9.140625" style="63"/>
    <col min="4302" max="4302" width="5.5703125" style="63" customWidth="1"/>
    <col min="4303" max="4303" width="24.140625" style="63" customWidth="1"/>
    <col min="4304" max="4304" width="81.42578125" style="63" customWidth="1"/>
    <col min="4305" max="4307" width="3.7109375" style="63" customWidth="1"/>
    <col min="4308" max="4308" width="10.85546875" style="63" customWidth="1"/>
    <col min="4309" max="4309" width="11.7109375" style="63" customWidth="1"/>
    <col min="4310" max="4557" width="9.140625" style="63"/>
    <col min="4558" max="4558" width="5.5703125" style="63" customWidth="1"/>
    <col min="4559" max="4559" width="24.140625" style="63" customWidth="1"/>
    <col min="4560" max="4560" width="81.42578125" style="63" customWidth="1"/>
    <col min="4561" max="4563" width="3.7109375" style="63" customWidth="1"/>
    <col min="4564" max="4564" width="10.85546875" style="63" customWidth="1"/>
    <col min="4565" max="4565" width="11.7109375" style="63" customWidth="1"/>
    <col min="4566" max="4813" width="9.140625" style="63"/>
    <col min="4814" max="4814" width="5.5703125" style="63" customWidth="1"/>
    <col min="4815" max="4815" width="24.140625" style="63" customWidth="1"/>
    <col min="4816" max="4816" width="81.42578125" style="63" customWidth="1"/>
    <col min="4817" max="4819" width="3.7109375" style="63" customWidth="1"/>
    <col min="4820" max="4820" width="10.85546875" style="63" customWidth="1"/>
    <col min="4821" max="4821" width="11.7109375" style="63" customWidth="1"/>
    <col min="4822" max="5069" width="9.140625" style="63"/>
    <col min="5070" max="5070" width="5.5703125" style="63" customWidth="1"/>
    <col min="5071" max="5071" width="24.140625" style="63" customWidth="1"/>
    <col min="5072" max="5072" width="81.42578125" style="63" customWidth="1"/>
    <col min="5073" max="5075" width="3.7109375" style="63" customWidth="1"/>
    <col min="5076" max="5076" width="10.85546875" style="63" customWidth="1"/>
    <col min="5077" max="5077" width="11.7109375" style="63" customWidth="1"/>
    <col min="5078" max="5325" width="9.140625" style="63"/>
    <col min="5326" max="5326" width="5.5703125" style="63" customWidth="1"/>
    <col min="5327" max="5327" width="24.140625" style="63" customWidth="1"/>
    <col min="5328" max="5328" width="81.42578125" style="63" customWidth="1"/>
    <col min="5329" max="5331" width="3.7109375" style="63" customWidth="1"/>
    <col min="5332" max="5332" width="10.85546875" style="63" customWidth="1"/>
    <col min="5333" max="5333" width="11.7109375" style="63" customWidth="1"/>
    <col min="5334" max="5581" width="9.140625" style="63"/>
    <col min="5582" max="5582" width="5.5703125" style="63" customWidth="1"/>
    <col min="5583" max="5583" width="24.140625" style="63" customWidth="1"/>
    <col min="5584" max="5584" width="81.42578125" style="63" customWidth="1"/>
    <col min="5585" max="5587" width="3.7109375" style="63" customWidth="1"/>
    <col min="5588" max="5588" width="10.85546875" style="63" customWidth="1"/>
    <col min="5589" max="5589" width="11.7109375" style="63" customWidth="1"/>
    <col min="5590" max="5837" width="9.140625" style="63"/>
    <col min="5838" max="5838" width="5.5703125" style="63" customWidth="1"/>
    <col min="5839" max="5839" width="24.140625" style="63" customWidth="1"/>
    <col min="5840" max="5840" width="81.42578125" style="63" customWidth="1"/>
    <col min="5841" max="5843" width="3.7109375" style="63" customWidth="1"/>
    <col min="5844" max="5844" width="10.85546875" style="63" customWidth="1"/>
    <col min="5845" max="5845" width="11.7109375" style="63" customWidth="1"/>
    <col min="5846" max="6093" width="9.140625" style="63"/>
    <col min="6094" max="6094" width="5.5703125" style="63" customWidth="1"/>
    <col min="6095" max="6095" width="24.140625" style="63" customWidth="1"/>
    <col min="6096" max="6096" width="81.42578125" style="63" customWidth="1"/>
    <col min="6097" max="6099" width="3.7109375" style="63" customWidth="1"/>
    <col min="6100" max="6100" width="10.85546875" style="63" customWidth="1"/>
    <col min="6101" max="6101" width="11.7109375" style="63" customWidth="1"/>
    <col min="6102" max="6349" width="9.140625" style="63"/>
    <col min="6350" max="6350" width="5.5703125" style="63" customWidth="1"/>
    <col min="6351" max="6351" width="24.140625" style="63" customWidth="1"/>
    <col min="6352" max="6352" width="81.42578125" style="63" customWidth="1"/>
    <col min="6353" max="6355" width="3.7109375" style="63" customWidth="1"/>
    <col min="6356" max="6356" width="10.85546875" style="63" customWidth="1"/>
    <col min="6357" max="6357" width="11.7109375" style="63" customWidth="1"/>
    <col min="6358" max="6605" width="9.140625" style="63"/>
    <col min="6606" max="6606" width="5.5703125" style="63" customWidth="1"/>
    <col min="6607" max="6607" width="24.140625" style="63" customWidth="1"/>
    <col min="6608" max="6608" width="81.42578125" style="63" customWidth="1"/>
    <col min="6609" max="6611" width="3.7109375" style="63" customWidth="1"/>
    <col min="6612" max="6612" width="10.85546875" style="63" customWidth="1"/>
    <col min="6613" max="6613" width="11.7109375" style="63" customWidth="1"/>
    <col min="6614" max="6861" width="9.140625" style="63"/>
    <col min="6862" max="6862" width="5.5703125" style="63" customWidth="1"/>
    <col min="6863" max="6863" width="24.140625" style="63" customWidth="1"/>
    <col min="6864" max="6864" width="81.42578125" style="63" customWidth="1"/>
    <col min="6865" max="6867" width="3.7109375" style="63" customWidth="1"/>
    <col min="6868" max="6868" width="10.85546875" style="63" customWidth="1"/>
    <col min="6869" max="6869" width="11.7109375" style="63" customWidth="1"/>
    <col min="6870" max="7117" width="9.140625" style="63"/>
    <col min="7118" max="7118" width="5.5703125" style="63" customWidth="1"/>
    <col min="7119" max="7119" width="24.140625" style="63" customWidth="1"/>
    <col min="7120" max="7120" width="81.42578125" style="63" customWidth="1"/>
    <col min="7121" max="7123" width="3.7109375" style="63" customWidth="1"/>
    <col min="7124" max="7124" width="10.85546875" style="63" customWidth="1"/>
    <col min="7125" max="7125" width="11.7109375" style="63" customWidth="1"/>
    <col min="7126" max="7373" width="9.140625" style="63"/>
    <col min="7374" max="7374" width="5.5703125" style="63" customWidth="1"/>
    <col min="7375" max="7375" width="24.140625" style="63" customWidth="1"/>
    <col min="7376" max="7376" width="81.42578125" style="63" customWidth="1"/>
    <col min="7377" max="7379" width="3.7109375" style="63" customWidth="1"/>
    <col min="7380" max="7380" width="10.85546875" style="63" customWidth="1"/>
    <col min="7381" max="7381" width="11.7109375" style="63" customWidth="1"/>
    <col min="7382" max="7629" width="9.140625" style="63"/>
    <col min="7630" max="7630" width="5.5703125" style="63" customWidth="1"/>
    <col min="7631" max="7631" width="24.140625" style="63" customWidth="1"/>
    <col min="7632" max="7632" width="81.42578125" style="63" customWidth="1"/>
    <col min="7633" max="7635" width="3.7109375" style="63" customWidth="1"/>
    <col min="7636" max="7636" width="10.85546875" style="63" customWidth="1"/>
    <col min="7637" max="7637" width="11.7109375" style="63" customWidth="1"/>
    <col min="7638" max="7885" width="9.140625" style="63"/>
    <col min="7886" max="7886" width="5.5703125" style="63" customWidth="1"/>
    <col min="7887" max="7887" width="24.140625" style="63" customWidth="1"/>
    <col min="7888" max="7888" width="81.42578125" style="63" customWidth="1"/>
    <col min="7889" max="7891" width="3.7109375" style="63" customWidth="1"/>
    <col min="7892" max="7892" width="10.85546875" style="63" customWidth="1"/>
    <col min="7893" max="7893" width="11.7109375" style="63" customWidth="1"/>
    <col min="7894" max="8141" width="9.140625" style="63"/>
    <col min="8142" max="8142" width="5.5703125" style="63" customWidth="1"/>
    <col min="8143" max="8143" width="24.140625" style="63" customWidth="1"/>
    <col min="8144" max="8144" width="81.42578125" style="63" customWidth="1"/>
    <col min="8145" max="8147" width="3.7109375" style="63" customWidth="1"/>
    <col min="8148" max="8148" width="10.85546875" style="63" customWidth="1"/>
    <col min="8149" max="8149" width="11.7109375" style="63" customWidth="1"/>
    <col min="8150" max="8397" width="9.140625" style="63"/>
    <col min="8398" max="8398" width="5.5703125" style="63" customWidth="1"/>
    <col min="8399" max="8399" width="24.140625" style="63" customWidth="1"/>
    <col min="8400" max="8400" width="81.42578125" style="63" customWidth="1"/>
    <col min="8401" max="8403" width="3.7109375" style="63" customWidth="1"/>
    <col min="8404" max="8404" width="10.85546875" style="63" customWidth="1"/>
    <col min="8405" max="8405" width="11.7109375" style="63" customWidth="1"/>
    <col min="8406" max="8653" width="9.140625" style="63"/>
    <col min="8654" max="8654" width="5.5703125" style="63" customWidth="1"/>
    <col min="8655" max="8655" width="24.140625" style="63" customWidth="1"/>
    <col min="8656" max="8656" width="81.42578125" style="63" customWidth="1"/>
    <col min="8657" max="8659" width="3.7109375" style="63" customWidth="1"/>
    <col min="8660" max="8660" width="10.85546875" style="63" customWidth="1"/>
    <col min="8661" max="8661" width="11.7109375" style="63" customWidth="1"/>
    <col min="8662" max="8909" width="9.140625" style="63"/>
    <col min="8910" max="8910" width="5.5703125" style="63" customWidth="1"/>
    <col min="8911" max="8911" width="24.140625" style="63" customWidth="1"/>
    <col min="8912" max="8912" width="81.42578125" style="63" customWidth="1"/>
    <col min="8913" max="8915" width="3.7109375" style="63" customWidth="1"/>
    <col min="8916" max="8916" width="10.85546875" style="63" customWidth="1"/>
    <col min="8917" max="8917" width="11.7109375" style="63" customWidth="1"/>
    <col min="8918" max="9165" width="9.140625" style="63"/>
    <col min="9166" max="9166" width="5.5703125" style="63" customWidth="1"/>
    <col min="9167" max="9167" width="24.140625" style="63" customWidth="1"/>
    <col min="9168" max="9168" width="81.42578125" style="63" customWidth="1"/>
    <col min="9169" max="9171" width="3.7109375" style="63" customWidth="1"/>
    <col min="9172" max="9172" width="10.85546875" style="63" customWidth="1"/>
    <col min="9173" max="9173" width="11.7109375" style="63" customWidth="1"/>
    <col min="9174" max="9421" width="9.140625" style="63"/>
    <col min="9422" max="9422" width="5.5703125" style="63" customWidth="1"/>
    <col min="9423" max="9423" width="24.140625" style="63" customWidth="1"/>
    <col min="9424" max="9424" width="81.42578125" style="63" customWidth="1"/>
    <col min="9425" max="9427" width="3.7109375" style="63" customWidth="1"/>
    <col min="9428" max="9428" width="10.85546875" style="63" customWidth="1"/>
    <col min="9429" max="9429" width="11.7109375" style="63" customWidth="1"/>
    <col min="9430" max="9677" width="9.140625" style="63"/>
    <col min="9678" max="9678" width="5.5703125" style="63" customWidth="1"/>
    <col min="9679" max="9679" width="24.140625" style="63" customWidth="1"/>
    <col min="9680" max="9680" width="81.42578125" style="63" customWidth="1"/>
    <col min="9681" max="9683" width="3.7109375" style="63" customWidth="1"/>
    <col min="9684" max="9684" width="10.85546875" style="63" customWidth="1"/>
    <col min="9685" max="9685" width="11.7109375" style="63" customWidth="1"/>
    <col min="9686" max="9933" width="9.140625" style="63"/>
    <col min="9934" max="9934" width="5.5703125" style="63" customWidth="1"/>
    <col min="9935" max="9935" width="24.140625" style="63" customWidth="1"/>
    <col min="9936" max="9936" width="81.42578125" style="63" customWidth="1"/>
    <col min="9937" max="9939" width="3.7109375" style="63" customWidth="1"/>
    <col min="9940" max="9940" width="10.85546875" style="63" customWidth="1"/>
    <col min="9941" max="9941" width="11.7109375" style="63" customWidth="1"/>
    <col min="9942" max="10189" width="9.140625" style="63"/>
    <col min="10190" max="10190" width="5.5703125" style="63" customWidth="1"/>
    <col min="10191" max="10191" width="24.140625" style="63" customWidth="1"/>
    <col min="10192" max="10192" width="81.42578125" style="63" customWidth="1"/>
    <col min="10193" max="10195" width="3.7109375" style="63" customWidth="1"/>
    <col min="10196" max="10196" width="10.85546875" style="63" customWidth="1"/>
    <col min="10197" max="10197" width="11.7109375" style="63" customWidth="1"/>
    <col min="10198" max="10445" width="9.140625" style="63"/>
    <col min="10446" max="10446" width="5.5703125" style="63" customWidth="1"/>
    <col min="10447" max="10447" width="24.140625" style="63" customWidth="1"/>
    <col min="10448" max="10448" width="81.42578125" style="63" customWidth="1"/>
    <col min="10449" max="10451" width="3.7109375" style="63" customWidth="1"/>
    <col min="10452" max="10452" width="10.85546875" style="63" customWidth="1"/>
    <col min="10453" max="10453" width="11.7109375" style="63" customWidth="1"/>
    <col min="10454" max="10701" width="9.140625" style="63"/>
    <col min="10702" max="10702" width="5.5703125" style="63" customWidth="1"/>
    <col min="10703" max="10703" width="24.140625" style="63" customWidth="1"/>
    <col min="10704" max="10704" width="81.42578125" style="63" customWidth="1"/>
    <col min="10705" max="10707" width="3.7109375" style="63" customWidth="1"/>
    <col min="10708" max="10708" width="10.85546875" style="63" customWidth="1"/>
    <col min="10709" max="10709" width="11.7109375" style="63" customWidth="1"/>
    <col min="10710" max="10957" width="9.140625" style="63"/>
    <col min="10958" max="10958" width="5.5703125" style="63" customWidth="1"/>
    <col min="10959" max="10959" width="24.140625" style="63" customWidth="1"/>
    <col min="10960" max="10960" width="81.42578125" style="63" customWidth="1"/>
    <col min="10961" max="10963" width="3.7109375" style="63" customWidth="1"/>
    <col min="10964" max="10964" width="10.85546875" style="63" customWidth="1"/>
    <col min="10965" max="10965" width="11.7109375" style="63" customWidth="1"/>
    <col min="10966" max="11213" width="9.140625" style="63"/>
    <col min="11214" max="11214" width="5.5703125" style="63" customWidth="1"/>
    <col min="11215" max="11215" width="24.140625" style="63" customWidth="1"/>
    <col min="11216" max="11216" width="81.42578125" style="63" customWidth="1"/>
    <col min="11217" max="11219" width="3.7109375" style="63" customWidth="1"/>
    <col min="11220" max="11220" width="10.85546875" style="63" customWidth="1"/>
    <col min="11221" max="11221" width="11.7109375" style="63" customWidth="1"/>
    <col min="11222" max="11469" width="9.140625" style="63"/>
    <col min="11470" max="11470" width="5.5703125" style="63" customWidth="1"/>
    <col min="11471" max="11471" width="24.140625" style="63" customWidth="1"/>
    <col min="11472" max="11472" width="81.42578125" style="63" customWidth="1"/>
    <col min="11473" max="11475" width="3.7109375" style="63" customWidth="1"/>
    <col min="11476" max="11476" width="10.85546875" style="63" customWidth="1"/>
    <col min="11477" max="11477" width="11.7109375" style="63" customWidth="1"/>
    <col min="11478" max="11725" width="9.140625" style="63"/>
    <col min="11726" max="11726" width="5.5703125" style="63" customWidth="1"/>
    <col min="11727" max="11727" width="24.140625" style="63" customWidth="1"/>
    <col min="11728" max="11728" width="81.42578125" style="63" customWidth="1"/>
    <col min="11729" max="11731" width="3.7109375" style="63" customWidth="1"/>
    <col min="11732" max="11732" width="10.85546875" style="63" customWidth="1"/>
    <col min="11733" max="11733" width="11.7109375" style="63" customWidth="1"/>
    <col min="11734" max="11981" width="9.140625" style="63"/>
    <col min="11982" max="11982" width="5.5703125" style="63" customWidth="1"/>
    <col min="11983" max="11983" width="24.140625" style="63" customWidth="1"/>
    <col min="11984" max="11984" width="81.42578125" style="63" customWidth="1"/>
    <col min="11985" max="11987" width="3.7109375" style="63" customWidth="1"/>
    <col min="11988" max="11988" width="10.85546875" style="63" customWidth="1"/>
    <col min="11989" max="11989" width="11.7109375" style="63" customWidth="1"/>
    <col min="11990" max="12237" width="9.140625" style="63"/>
    <col min="12238" max="12238" width="5.5703125" style="63" customWidth="1"/>
    <col min="12239" max="12239" width="24.140625" style="63" customWidth="1"/>
    <col min="12240" max="12240" width="81.42578125" style="63" customWidth="1"/>
    <col min="12241" max="12243" width="3.7109375" style="63" customWidth="1"/>
    <col min="12244" max="12244" width="10.85546875" style="63" customWidth="1"/>
    <col min="12245" max="12245" width="11.7109375" style="63" customWidth="1"/>
    <col min="12246" max="12493" width="9.140625" style="63"/>
    <col min="12494" max="12494" width="5.5703125" style="63" customWidth="1"/>
    <col min="12495" max="12495" width="24.140625" style="63" customWidth="1"/>
    <col min="12496" max="12496" width="81.42578125" style="63" customWidth="1"/>
    <col min="12497" max="12499" width="3.7109375" style="63" customWidth="1"/>
    <col min="12500" max="12500" width="10.85546875" style="63" customWidth="1"/>
    <col min="12501" max="12501" width="11.7109375" style="63" customWidth="1"/>
    <col min="12502" max="12749" width="9.140625" style="63"/>
    <col min="12750" max="12750" width="5.5703125" style="63" customWidth="1"/>
    <col min="12751" max="12751" width="24.140625" style="63" customWidth="1"/>
    <col min="12752" max="12752" width="81.42578125" style="63" customWidth="1"/>
    <col min="12753" max="12755" width="3.7109375" style="63" customWidth="1"/>
    <col min="12756" max="12756" width="10.85546875" style="63" customWidth="1"/>
    <col min="12757" max="12757" width="11.7109375" style="63" customWidth="1"/>
    <col min="12758" max="13005" width="9.140625" style="63"/>
    <col min="13006" max="13006" width="5.5703125" style="63" customWidth="1"/>
    <col min="13007" max="13007" width="24.140625" style="63" customWidth="1"/>
    <col min="13008" max="13008" width="81.42578125" style="63" customWidth="1"/>
    <col min="13009" max="13011" width="3.7109375" style="63" customWidth="1"/>
    <col min="13012" max="13012" width="10.85546875" style="63" customWidth="1"/>
    <col min="13013" max="13013" width="11.7109375" style="63" customWidth="1"/>
    <col min="13014" max="13261" width="9.140625" style="63"/>
    <col min="13262" max="13262" width="5.5703125" style="63" customWidth="1"/>
    <col min="13263" max="13263" width="24.140625" style="63" customWidth="1"/>
    <col min="13264" max="13264" width="81.42578125" style="63" customWidth="1"/>
    <col min="13265" max="13267" width="3.7109375" style="63" customWidth="1"/>
    <col min="13268" max="13268" width="10.85546875" style="63" customWidth="1"/>
    <col min="13269" max="13269" width="11.7109375" style="63" customWidth="1"/>
    <col min="13270" max="13517" width="9.140625" style="63"/>
    <col min="13518" max="13518" width="5.5703125" style="63" customWidth="1"/>
    <col min="13519" max="13519" width="24.140625" style="63" customWidth="1"/>
    <col min="13520" max="13520" width="81.42578125" style="63" customWidth="1"/>
    <col min="13521" max="13523" width="3.7109375" style="63" customWidth="1"/>
    <col min="13524" max="13524" width="10.85546875" style="63" customWidth="1"/>
    <col min="13525" max="13525" width="11.7109375" style="63" customWidth="1"/>
    <col min="13526" max="13773" width="9.140625" style="63"/>
    <col min="13774" max="13774" width="5.5703125" style="63" customWidth="1"/>
    <col min="13775" max="13775" width="24.140625" style="63" customWidth="1"/>
    <col min="13776" max="13776" width="81.42578125" style="63" customWidth="1"/>
    <col min="13777" max="13779" width="3.7109375" style="63" customWidth="1"/>
    <col min="13780" max="13780" width="10.85546875" style="63" customWidth="1"/>
    <col min="13781" max="13781" width="11.7109375" style="63" customWidth="1"/>
    <col min="13782" max="14029" width="9.140625" style="63"/>
    <col min="14030" max="14030" width="5.5703125" style="63" customWidth="1"/>
    <col min="14031" max="14031" width="24.140625" style="63" customWidth="1"/>
    <col min="14032" max="14032" width="81.42578125" style="63" customWidth="1"/>
    <col min="14033" max="14035" width="3.7109375" style="63" customWidth="1"/>
    <col min="14036" max="14036" width="10.85546875" style="63" customWidth="1"/>
    <col min="14037" max="14037" width="11.7109375" style="63" customWidth="1"/>
    <col min="14038" max="14285" width="9.140625" style="63"/>
    <col min="14286" max="14286" width="5.5703125" style="63" customWidth="1"/>
    <col min="14287" max="14287" width="24.140625" style="63" customWidth="1"/>
    <col min="14288" max="14288" width="81.42578125" style="63" customWidth="1"/>
    <col min="14289" max="14291" width="3.7109375" style="63" customWidth="1"/>
    <col min="14292" max="14292" width="10.85546875" style="63" customWidth="1"/>
    <col min="14293" max="14293" width="11.7109375" style="63" customWidth="1"/>
    <col min="14294" max="14541" width="9.140625" style="63"/>
    <col min="14542" max="14542" width="5.5703125" style="63" customWidth="1"/>
    <col min="14543" max="14543" width="24.140625" style="63" customWidth="1"/>
    <col min="14544" max="14544" width="81.42578125" style="63" customWidth="1"/>
    <col min="14545" max="14547" width="3.7109375" style="63" customWidth="1"/>
    <col min="14548" max="14548" width="10.85546875" style="63" customWidth="1"/>
    <col min="14549" max="14549" width="11.7109375" style="63" customWidth="1"/>
    <col min="14550" max="14797" width="9.140625" style="63"/>
    <col min="14798" max="14798" width="5.5703125" style="63" customWidth="1"/>
    <col min="14799" max="14799" width="24.140625" style="63" customWidth="1"/>
    <col min="14800" max="14800" width="81.42578125" style="63" customWidth="1"/>
    <col min="14801" max="14803" width="3.7109375" style="63" customWidth="1"/>
    <col min="14804" max="14804" width="10.85546875" style="63" customWidth="1"/>
    <col min="14805" max="14805" width="11.7109375" style="63" customWidth="1"/>
    <col min="14806" max="15053" width="9.140625" style="63"/>
    <col min="15054" max="15054" width="5.5703125" style="63" customWidth="1"/>
    <col min="15055" max="15055" width="24.140625" style="63" customWidth="1"/>
    <col min="15056" max="15056" width="81.42578125" style="63" customWidth="1"/>
    <col min="15057" max="15059" width="3.7109375" style="63" customWidth="1"/>
    <col min="15060" max="15060" width="10.85546875" style="63" customWidth="1"/>
    <col min="15061" max="15061" width="11.7109375" style="63" customWidth="1"/>
    <col min="15062" max="15309" width="9.140625" style="63"/>
    <col min="15310" max="15310" width="5.5703125" style="63" customWidth="1"/>
    <col min="15311" max="15311" width="24.140625" style="63" customWidth="1"/>
    <col min="15312" max="15312" width="81.42578125" style="63" customWidth="1"/>
    <col min="15313" max="15315" width="3.7109375" style="63" customWidth="1"/>
    <col min="15316" max="15316" width="10.85546875" style="63" customWidth="1"/>
    <col min="15317" max="15317" width="11.7109375" style="63" customWidth="1"/>
    <col min="15318" max="15565" width="9.140625" style="63"/>
    <col min="15566" max="15566" width="5.5703125" style="63" customWidth="1"/>
    <col min="15567" max="15567" width="24.140625" style="63" customWidth="1"/>
    <col min="15568" max="15568" width="81.42578125" style="63" customWidth="1"/>
    <col min="15569" max="15571" width="3.7109375" style="63" customWidth="1"/>
    <col min="15572" max="15572" width="10.85546875" style="63" customWidth="1"/>
    <col min="15573" max="15573" width="11.7109375" style="63" customWidth="1"/>
    <col min="15574" max="15821" width="9.140625" style="63"/>
    <col min="15822" max="15822" width="5.5703125" style="63" customWidth="1"/>
    <col min="15823" max="15823" width="24.140625" style="63" customWidth="1"/>
    <col min="15824" max="15824" width="81.42578125" style="63" customWidth="1"/>
    <col min="15825" max="15827" width="3.7109375" style="63" customWidth="1"/>
    <col min="15828" max="15828" width="10.85546875" style="63" customWidth="1"/>
    <col min="15829" max="15829" width="11.7109375" style="63" customWidth="1"/>
    <col min="15830" max="16077" width="9.140625" style="63"/>
    <col min="16078" max="16078" width="5.5703125" style="63" customWidth="1"/>
    <col min="16079" max="16079" width="24.140625" style="63" customWidth="1"/>
    <col min="16080" max="16080" width="81.42578125" style="63" customWidth="1"/>
    <col min="16081" max="16083" width="3.7109375" style="63" customWidth="1"/>
    <col min="16084" max="16084" width="10.85546875" style="63" customWidth="1"/>
    <col min="16085" max="16085" width="11.7109375" style="63" customWidth="1"/>
    <col min="16086" max="16384" width="9.140625" style="63"/>
  </cols>
  <sheetData>
    <row r="1" spans="1:12" ht="15.95" customHeight="1" x14ac:dyDescent="0.25">
      <c r="A1" s="649" t="s">
        <v>265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</row>
    <row r="2" spans="1:12" ht="15.95" customHeight="1" x14ac:dyDescent="0.25">
      <c r="A2" s="759"/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</row>
    <row r="3" spans="1:12" ht="15.95" customHeight="1" x14ac:dyDescent="0.25">
      <c r="A3" s="647" t="s">
        <v>248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5.95" customHeight="1" x14ac:dyDescent="0.25">
      <c r="A4" s="647" t="s">
        <v>144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</row>
    <row r="5" spans="1:12" ht="15.95" customHeight="1" x14ac:dyDescent="0.25">
      <c r="A5" s="647" t="s">
        <v>257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2" ht="15.95" customHeight="1" thickBot="1" x14ac:dyDescent="0.3">
      <c r="C6" s="758" t="s">
        <v>201</v>
      </c>
      <c r="D6" s="758"/>
      <c r="E6" s="758"/>
      <c r="F6" s="758"/>
      <c r="G6" s="758"/>
      <c r="H6" s="758"/>
      <c r="I6" s="758"/>
      <c r="J6" s="758"/>
      <c r="K6" s="758"/>
      <c r="L6" s="758"/>
    </row>
    <row r="7" spans="1:12" s="122" customFormat="1" ht="30" customHeight="1" x14ac:dyDescent="0.25">
      <c r="A7" s="775" t="s">
        <v>122</v>
      </c>
      <c r="B7" s="777" t="s">
        <v>192</v>
      </c>
      <c r="C7" s="778"/>
      <c r="D7" s="773" t="s">
        <v>304</v>
      </c>
      <c r="E7" s="766" t="s">
        <v>303</v>
      </c>
      <c r="F7" s="767"/>
      <c r="G7" s="767"/>
      <c r="H7" s="767"/>
      <c r="I7" s="767"/>
      <c r="J7" s="767"/>
      <c r="K7" s="767"/>
      <c r="L7" s="768"/>
    </row>
    <row r="8" spans="1:12" s="122" customFormat="1" ht="30" customHeight="1" thickBot="1" x14ac:dyDescent="0.3">
      <c r="A8" s="776"/>
      <c r="B8" s="386" t="s">
        <v>194</v>
      </c>
      <c r="C8" s="319" t="s">
        <v>193</v>
      </c>
      <c r="D8" s="774"/>
      <c r="E8" s="387" t="s">
        <v>135</v>
      </c>
      <c r="F8" s="388" t="s">
        <v>140</v>
      </c>
      <c r="G8" s="388" t="s">
        <v>141</v>
      </c>
      <c r="H8" s="388" t="s">
        <v>142</v>
      </c>
      <c r="I8" s="389" t="s">
        <v>146</v>
      </c>
      <c r="J8" s="462" t="s">
        <v>344</v>
      </c>
      <c r="K8" s="390" t="s">
        <v>196</v>
      </c>
      <c r="L8" s="391" t="s">
        <v>105</v>
      </c>
    </row>
    <row r="9" spans="1:12" s="4" customFormat="1" ht="15" customHeight="1" x14ac:dyDescent="0.25">
      <c r="A9" s="769" t="s">
        <v>249</v>
      </c>
      <c r="B9" s="770"/>
      <c r="C9" s="771"/>
      <c r="D9" s="771"/>
      <c r="E9" s="771"/>
      <c r="F9" s="771"/>
      <c r="G9" s="771"/>
      <c r="H9" s="771"/>
      <c r="I9" s="771"/>
      <c r="J9" s="771"/>
      <c r="K9" s="771"/>
      <c r="L9" s="772"/>
    </row>
    <row r="10" spans="1:12" s="4" customFormat="1" ht="15" customHeight="1" x14ac:dyDescent="0.25">
      <c r="A10" s="782" t="s">
        <v>1</v>
      </c>
      <c r="B10" s="779" t="s">
        <v>306</v>
      </c>
      <c r="C10" s="780">
        <v>8968861</v>
      </c>
      <c r="D10" s="780">
        <v>2850427</v>
      </c>
      <c r="E10" s="126" t="s">
        <v>137</v>
      </c>
      <c r="F10" s="133">
        <v>0</v>
      </c>
      <c r="G10" s="133">
        <v>0</v>
      </c>
      <c r="H10" s="133">
        <v>2850427</v>
      </c>
      <c r="I10" s="133">
        <v>6118434</v>
      </c>
      <c r="J10" s="133">
        <v>0</v>
      </c>
      <c r="K10" s="146">
        <v>0</v>
      </c>
      <c r="L10" s="130">
        <f>SUM(F10:K10)</f>
        <v>8968861</v>
      </c>
    </row>
    <row r="11" spans="1:12" s="4" customFormat="1" ht="15" customHeight="1" x14ac:dyDescent="0.25">
      <c r="A11" s="701"/>
      <c r="B11" s="764"/>
      <c r="C11" s="707"/>
      <c r="D11" s="707"/>
      <c r="E11" s="123" t="s">
        <v>138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47">
        <v>0</v>
      </c>
      <c r="L11" s="134">
        <f>SUM(F11:K11)</f>
        <v>0</v>
      </c>
    </row>
    <row r="12" spans="1:12" s="4" customFormat="1" ht="15" customHeight="1" thickBot="1" x14ac:dyDescent="0.3">
      <c r="A12" s="702"/>
      <c r="B12" s="765"/>
      <c r="C12" s="708"/>
      <c r="D12" s="708"/>
      <c r="E12" s="135" t="s">
        <v>105</v>
      </c>
      <c r="F12" s="136">
        <f>SUM(F10:F11)</f>
        <v>0</v>
      </c>
      <c r="G12" s="136">
        <f t="shared" ref="G12:L12" si="0">SUM(G10:G11)</f>
        <v>0</v>
      </c>
      <c r="H12" s="136">
        <f t="shared" si="0"/>
        <v>2850427</v>
      </c>
      <c r="I12" s="136">
        <f t="shared" si="0"/>
        <v>6118434</v>
      </c>
      <c r="J12" s="136">
        <f t="shared" si="0"/>
        <v>0</v>
      </c>
      <c r="K12" s="136">
        <f t="shared" si="0"/>
        <v>0</v>
      </c>
      <c r="L12" s="137">
        <f t="shared" si="0"/>
        <v>8968861</v>
      </c>
    </row>
    <row r="13" spans="1:12" s="4" customFormat="1" ht="15" customHeight="1" x14ac:dyDescent="0.25">
      <c r="A13" s="700" t="s">
        <v>2</v>
      </c>
      <c r="B13" s="763" t="s">
        <v>307</v>
      </c>
      <c r="C13" s="706">
        <v>9221544</v>
      </c>
      <c r="D13" s="706">
        <v>3063246</v>
      </c>
      <c r="E13" s="124" t="s">
        <v>137</v>
      </c>
      <c r="F13" s="127">
        <v>0</v>
      </c>
      <c r="G13" s="127">
        <v>0</v>
      </c>
      <c r="H13" s="127">
        <v>3063246</v>
      </c>
      <c r="I13" s="127">
        <v>6158298</v>
      </c>
      <c r="J13" s="127">
        <v>0</v>
      </c>
      <c r="K13" s="148">
        <v>0</v>
      </c>
      <c r="L13" s="128">
        <f>SUM(F13:K13)</f>
        <v>9221544</v>
      </c>
    </row>
    <row r="14" spans="1:12" s="4" customFormat="1" ht="15" customHeight="1" x14ac:dyDescent="0.25">
      <c r="A14" s="701"/>
      <c r="B14" s="764"/>
      <c r="C14" s="707"/>
      <c r="D14" s="707"/>
      <c r="E14" s="123" t="s">
        <v>138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47">
        <v>0</v>
      </c>
      <c r="L14" s="134">
        <f>SUM(F14:K14)</f>
        <v>0</v>
      </c>
    </row>
    <row r="15" spans="1:12" s="4" customFormat="1" ht="15" customHeight="1" thickBot="1" x14ac:dyDescent="0.3">
      <c r="A15" s="702"/>
      <c r="B15" s="765"/>
      <c r="C15" s="708"/>
      <c r="D15" s="708"/>
      <c r="E15" s="125" t="s">
        <v>105</v>
      </c>
      <c r="F15" s="131">
        <f>SUM(F13:F14)</f>
        <v>0</v>
      </c>
      <c r="G15" s="131">
        <f t="shared" ref="G15" si="1">SUM(G13:G14)</f>
        <v>0</v>
      </c>
      <c r="H15" s="131">
        <f t="shared" ref="H15" si="2">SUM(H13:H14)</f>
        <v>3063246</v>
      </c>
      <c r="I15" s="131">
        <f t="shared" ref="I15" si="3">SUM(I13:I14)</f>
        <v>6158298</v>
      </c>
      <c r="J15" s="131">
        <f t="shared" ref="J15:K15" si="4">SUM(J13:J14)</f>
        <v>0</v>
      </c>
      <c r="K15" s="131">
        <f t="shared" si="4"/>
        <v>0</v>
      </c>
      <c r="L15" s="132">
        <f t="shared" ref="L15" si="5">SUM(L13:L14)</f>
        <v>9221544</v>
      </c>
    </row>
    <row r="16" spans="1:12" s="4" customFormat="1" ht="15" customHeight="1" x14ac:dyDescent="0.25">
      <c r="A16" s="700" t="s">
        <v>4</v>
      </c>
      <c r="B16" s="763" t="s">
        <v>308</v>
      </c>
      <c r="C16" s="706">
        <v>7821602</v>
      </c>
      <c r="D16" s="706">
        <v>2760794</v>
      </c>
      <c r="E16" s="124" t="s">
        <v>137</v>
      </c>
      <c r="F16" s="127">
        <v>0</v>
      </c>
      <c r="G16" s="127">
        <v>0</v>
      </c>
      <c r="H16" s="127">
        <v>2760794</v>
      </c>
      <c r="I16" s="127">
        <v>5060808</v>
      </c>
      <c r="J16" s="127">
        <v>0</v>
      </c>
      <c r="K16" s="148">
        <v>0</v>
      </c>
      <c r="L16" s="128">
        <f>SUM(F16:K16)</f>
        <v>7821602</v>
      </c>
    </row>
    <row r="17" spans="1:13" s="4" customFormat="1" ht="15" customHeight="1" x14ac:dyDescent="0.25">
      <c r="A17" s="701"/>
      <c r="B17" s="764"/>
      <c r="C17" s="707"/>
      <c r="D17" s="707"/>
      <c r="E17" s="123" t="s">
        <v>138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47">
        <v>0</v>
      </c>
      <c r="L17" s="134">
        <f>SUM(F17:K17)</f>
        <v>0</v>
      </c>
    </row>
    <row r="18" spans="1:13" s="4" customFormat="1" ht="15" customHeight="1" thickBot="1" x14ac:dyDescent="0.3">
      <c r="A18" s="702"/>
      <c r="B18" s="765"/>
      <c r="C18" s="708"/>
      <c r="D18" s="708"/>
      <c r="E18" s="125" t="s">
        <v>105</v>
      </c>
      <c r="F18" s="131">
        <f>SUM(F16:F17)</f>
        <v>0</v>
      </c>
      <c r="G18" s="131">
        <f t="shared" ref="G18:L18" si="6">SUM(G16:G17)</f>
        <v>0</v>
      </c>
      <c r="H18" s="131">
        <f t="shared" si="6"/>
        <v>2760794</v>
      </c>
      <c r="I18" s="131">
        <f t="shared" si="6"/>
        <v>5060808</v>
      </c>
      <c r="J18" s="131">
        <f t="shared" si="6"/>
        <v>0</v>
      </c>
      <c r="K18" s="131">
        <f t="shared" si="6"/>
        <v>0</v>
      </c>
      <c r="L18" s="132">
        <f t="shared" si="6"/>
        <v>7821602</v>
      </c>
    </row>
    <row r="19" spans="1:13" s="4" customFormat="1" ht="15" customHeight="1" x14ac:dyDescent="0.25">
      <c r="A19" s="700" t="s">
        <v>5</v>
      </c>
      <c r="B19" s="760" t="s">
        <v>310</v>
      </c>
      <c r="C19" s="706">
        <v>5023335</v>
      </c>
      <c r="D19" s="706">
        <v>5023335</v>
      </c>
      <c r="E19" s="124" t="s">
        <v>137</v>
      </c>
      <c r="F19" s="127">
        <v>20250</v>
      </c>
      <c r="G19" s="127">
        <v>0</v>
      </c>
      <c r="H19" s="127">
        <v>0</v>
      </c>
      <c r="I19" s="127">
        <v>4803512</v>
      </c>
      <c r="J19" s="127">
        <v>0</v>
      </c>
      <c r="K19" s="148">
        <v>0</v>
      </c>
      <c r="L19" s="128">
        <f>SUM(F19:K19)</f>
        <v>4823762</v>
      </c>
    </row>
    <row r="20" spans="1:13" s="4" customFormat="1" ht="15" customHeight="1" x14ac:dyDescent="0.25">
      <c r="A20" s="701"/>
      <c r="B20" s="761"/>
      <c r="C20" s="707"/>
      <c r="D20" s="707"/>
      <c r="E20" s="123" t="s">
        <v>138</v>
      </c>
      <c r="F20" s="129">
        <v>176613</v>
      </c>
      <c r="G20" s="129">
        <v>22960</v>
      </c>
      <c r="H20" s="129">
        <v>0</v>
      </c>
      <c r="I20" s="129">
        <v>0</v>
      </c>
      <c r="J20" s="129">
        <v>0</v>
      </c>
      <c r="K20" s="147">
        <v>0</v>
      </c>
      <c r="L20" s="130">
        <f>SUM(F20:K20)</f>
        <v>199573</v>
      </c>
    </row>
    <row r="21" spans="1:13" s="4" customFormat="1" ht="15" customHeight="1" thickBot="1" x14ac:dyDescent="0.3">
      <c r="A21" s="702"/>
      <c r="B21" s="762"/>
      <c r="C21" s="708"/>
      <c r="D21" s="708"/>
      <c r="E21" s="125" t="s">
        <v>105</v>
      </c>
      <c r="F21" s="131">
        <f>SUM(F19:F20)</f>
        <v>196863</v>
      </c>
      <c r="G21" s="131">
        <f t="shared" ref="G21" si="7">SUM(G19:G20)</f>
        <v>22960</v>
      </c>
      <c r="H21" s="131">
        <f t="shared" ref="H21" si="8">SUM(H19:H20)</f>
        <v>0</v>
      </c>
      <c r="I21" s="131">
        <f t="shared" ref="I21" si="9">SUM(I19:I20)</f>
        <v>4803512</v>
      </c>
      <c r="J21" s="131">
        <f t="shared" ref="J21:K21" si="10">SUM(J19:J20)</f>
        <v>0</v>
      </c>
      <c r="K21" s="131">
        <f t="shared" si="10"/>
        <v>0</v>
      </c>
      <c r="L21" s="132">
        <f t="shared" ref="L21" si="11">SUM(L19:L20)</f>
        <v>5023335</v>
      </c>
    </row>
    <row r="22" spans="1:13" s="4" customFormat="1" ht="15" customHeight="1" x14ac:dyDescent="0.25">
      <c r="A22" s="700" t="s">
        <v>7</v>
      </c>
      <c r="B22" s="760" t="s">
        <v>309</v>
      </c>
      <c r="C22" s="706">
        <v>26273766</v>
      </c>
      <c r="D22" s="706">
        <v>26273766</v>
      </c>
      <c r="E22" s="124" t="s">
        <v>137</v>
      </c>
      <c r="F22" s="107">
        <v>51858</v>
      </c>
      <c r="G22" s="108">
        <v>250976</v>
      </c>
      <c r="H22" s="107">
        <v>0</v>
      </c>
      <c r="I22" s="107">
        <v>20551012</v>
      </c>
      <c r="J22" s="127">
        <v>0</v>
      </c>
      <c r="K22" s="148">
        <v>0</v>
      </c>
      <c r="L22" s="128">
        <f>SUM(F22:K22)</f>
        <v>20853846</v>
      </c>
    </row>
    <row r="23" spans="1:13" s="4" customFormat="1" ht="15" customHeight="1" x14ac:dyDescent="0.25">
      <c r="A23" s="701"/>
      <c r="B23" s="761"/>
      <c r="C23" s="707"/>
      <c r="D23" s="707"/>
      <c r="E23" s="123" t="s">
        <v>138</v>
      </c>
      <c r="F23" s="112">
        <v>4785704</v>
      </c>
      <c r="G23" s="119">
        <v>634216</v>
      </c>
      <c r="H23" s="112">
        <v>0</v>
      </c>
      <c r="I23" s="112">
        <v>0</v>
      </c>
      <c r="J23" s="129">
        <v>0</v>
      </c>
      <c r="K23" s="147">
        <v>0</v>
      </c>
      <c r="L23" s="130">
        <f>SUM(F23:K23)</f>
        <v>5419920</v>
      </c>
    </row>
    <row r="24" spans="1:13" s="4" customFormat="1" ht="15" customHeight="1" thickBot="1" x14ac:dyDescent="0.3">
      <c r="A24" s="702"/>
      <c r="B24" s="762"/>
      <c r="C24" s="708"/>
      <c r="D24" s="708"/>
      <c r="E24" s="125" t="s">
        <v>105</v>
      </c>
      <c r="F24" s="131">
        <f>SUM(F22:F23)</f>
        <v>4837562</v>
      </c>
      <c r="G24" s="131">
        <f t="shared" ref="G24" si="12">SUM(G22:G23)</f>
        <v>885192</v>
      </c>
      <c r="H24" s="131">
        <f t="shared" ref="H24" si="13">SUM(H22:H23)</f>
        <v>0</v>
      </c>
      <c r="I24" s="131">
        <f t="shared" ref="I24" si="14">SUM(I22:I23)</f>
        <v>20551012</v>
      </c>
      <c r="J24" s="131">
        <f t="shared" ref="J24:K24" si="15">SUM(J22:J23)</f>
        <v>0</v>
      </c>
      <c r="K24" s="131">
        <f t="shared" si="15"/>
        <v>0</v>
      </c>
      <c r="L24" s="132">
        <f t="shared" ref="L24" si="16">SUM(L22:L23)</f>
        <v>26273766</v>
      </c>
    </row>
    <row r="25" spans="1:13" s="4" customFormat="1" ht="15" customHeight="1" x14ac:dyDescent="0.25">
      <c r="A25" s="700" t="s">
        <v>27</v>
      </c>
      <c r="B25" s="760" t="s">
        <v>232</v>
      </c>
      <c r="C25" s="706">
        <v>2066271</v>
      </c>
      <c r="D25" s="706">
        <v>2066271</v>
      </c>
      <c r="E25" s="124" t="s">
        <v>137</v>
      </c>
      <c r="F25" s="107">
        <v>0</v>
      </c>
      <c r="G25" s="108">
        <v>513083</v>
      </c>
      <c r="H25" s="127">
        <v>0</v>
      </c>
      <c r="I25" s="127">
        <v>0</v>
      </c>
      <c r="J25" s="127">
        <v>0</v>
      </c>
      <c r="K25" s="148">
        <v>0</v>
      </c>
      <c r="L25" s="128">
        <f>SUM(F25:J25)</f>
        <v>513083</v>
      </c>
      <c r="M25" s="456"/>
    </row>
    <row r="26" spans="1:13" s="90" customFormat="1" ht="15" customHeight="1" x14ac:dyDescent="0.25">
      <c r="A26" s="701"/>
      <c r="B26" s="761"/>
      <c r="C26" s="707"/>
      <c r="D26" s="707"/>
      <c r="E26" s="123" t="s">
        <v>138</v>
      </c>
      <c r="F26" s="112">
        <v>1374502</v>
      </c>
      <c r="G26" s="119">
        <v>178686</v>
      </c>
      <c r="H26" s="129">
        <v>0</v>
      </c>
      <c r="I26" s="129">
        <v>0</v>
      </c>
      <c r="J26" s="129">
        <v>0</v>
      </c>
      <c r="K26" s="147">
        <v>0</v>
      </c>
      <c r="L26" s="130">
        <f>SUM(F26:J26)</f>
        <v>1553188</v>
      </c>
      <c r="M26" s="456"/>
    </row>
    <row r="27" spans="1:13" s="90" customFormat="1" ht="15" customHeight="1" thickBot="1" x14ac:dyDescent="0.3">
      <c r="A27" s="702"/>
      <c r="B27" s="762"/>
      <c r="C27" s="708"/>
      <c r="D27" s="708"/>
      <c r="E27" s="125" t="s">
        <v>105</v>
      </c>
      <c r="F27" s="131">
        <f>SUM(F25:F26)</f>
        <v>1374502</v>
      </c>
      <c r="G27" s="131">
        <f t="shared" ref="G27:L27" si="17">SUM(G25:G26)</f>
        <v>691769</v>
      </c>
      <c r="H27" s="131">
        <f t="shared" si="17"/>
        <v>0</v>
      </c>
      <c r="I27" s="131">
        <f t="shared" si="17"/>
        <v>0</v>
      </c>
      <c r="J27" s="131">
        <f t="shared" si="17"/>
        <v>0</v>
      </c>
      <c r="K27" s="131">
        <f t="shared" si="17"/>
        <v>0</v>
      </c>
      <c r="L27" s="132">
        <f t="shared" si="17"/>
        <v>2066271</v>
      </c>
    </row>
    <row r="28" spans="1:13" s="90" customFormat="1" ht="15" customHeight="1" x14ac:dyDescent="0.25">
      <c r="A28" s="700" t="s">
        <v>81</v>
      </c>
      <c r="B28" s="760" t="s">
        <v>231</v>
      </c>
      <c r="C28" s="706">
        <v>126154262</v>
      </c>
      <c r="D28" s="706">
        <v>126154262</v>
      </c>
      <c r="E28" s="124" t="s">
        <v>137</v>
      </c>
      <c r="F28" s="107">
        <v>760000</v>
      </c>
      <c r="G28" s="107">
        <v>98800</v>
      </c>
      <c r="H28" s="107">
        <v>51765495</v>
      </c>
      <c r="I28" s="107">
        <v>0</v>
      </c>
      <c r="J28" s="457">
        <v>27483222</v>
      </c>
      <c r="K28" s="148">
        <v>0</v>
      </c>
      <c r="L28" s="128">
        <f>SUM(F28:J28)</f>
        <v>80107517</v>
      </c>
    </row>
    <row r="29" spans="1:13" s="90" customFormat="1" ht="15" customHeight="1" x14ac:dyDescent="0.25">
      <c r="A29" s="701"/>
      <c r="B29" s="761"/>
      <c r="C29" s="707"/>
      <c r="D29" s="707"/>
      <c r="E29" s="123" t="s">
        <v>138</v>
      </c>
      <c r="F29" s="112">
        <v>37386500</v>
      </c>
      <c r="G29" s="112">
        <v>5160245</v>
      </c>
      <c r="H29" s="112">
        <v>3500000</v>
      </c>
      <c r="I29" s="112">
        <v>0</v>
      </c>
      <c r="J29" s="458">
        <v>0</v>
      </c>
      <c r="K29" s="147">
        <v>0</v>
      </c>
      <c r="L29" s="130">
        <f>SUM(F29:J29)</f>
        <v>46046745</v>
      </c>
    </row>
    <row r="30" spans="1:13" s="90" customFormat="1" ht="15" customHeight="1" thickBot="1" x14ac:dyDescent="0.3">
      <c r="A30" s="702"/>
      <c r="B30" s="762"/>
      <c r="C30" s="708"/>
      <c r="D30" s="708"/>
      <c r="E30" s="125" t="s">
        <v>105</v>
      </c>
      <c r="F30" s="131">
        <f>SUM(F28:F29)</f>
        <v>38146500</v>
      </c>
      <c r="G30" s="131">
        <f t="shared" ref="G30" si="18">SUM(G28:G29)</f>
        <v>5259045</v>
      </c>
      <c r="H30" s="131">
        <f t="shared" ref="H30" si="19">SUM(H28:H29)</f>
        <v>55265495</v>
      </c>
      <c r="I30" s="131">
        <f t="shared" ref="I30" si="20">SUM(I28:I29)</f>
        <v>0</v>
      </c>
      <c r="J30" s="131">
        <f t="shared" ref="J30:K30" si="21">SUM(J28:J29)</f>
        <v>27483222</v>
      </c>
      <c r="K30" s="131">
        <f t="shared" si="21"/>
        <v>0</v>
      </c>
      <c r="L30" s="132">
        <f t="shared" ref="L30" si="22">SUM(L28:L29)</f>
        <v>126154262</v>
      </c>
    </row>
    <row r="31" spans="1:13" s="90" customFormat="1" ht="15" customHeight="1" x14ac:dyDescent="0.25">
      <c r="A31" s="700" t="s">
        <v>82</v>
      </c>
      <c r="B31" s="760" t="s">
        <v>311</v>
      </c>
      <c r="C31" s="706">
        <v>191995</v>
      </c>
      <c r="D31" s="706">
        <v>191995</v>
      </c>
      <c r="E31" s="124" t="s">
        <v>137</v>
      </c>
      <c r="F31" s="127">
        <v>0</v>
      </c>
      <c r="G31" s="127">
        <v>0</v>
      </c>
      <c r="H31" s="127">
        <v>0</v>
      </c>
      <c r="I31" s="127">
        <v>191995</v>
      </c>
      <c r="J31" s="127">
        <v>0</v>
      </c>
      <c r="K31" s="148">
        <v>0</v>
      </c>
      <c r="L31" s="128">
        <f>SUM(F31:J31)</f>
        <v>191995</v>
      </c>
    </row>
    <row r="32" spans="1:13" s="90" customFormat="1" ht="15" customHeight="1" x14ac:dyDescent="0.25">
      <c r="A32" s="701"/>
      <c r="B32" s="761"/>
      <c r="C32" s="707"/>
      <c r="D32" s="707"/>
      <c r="E32" s="123" t="s">
        <v>138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47">
        <v>0</v>
      </c>
      <c r="L32" s="130">
        <f>SUM(F32:J32)</f>
        <v>0</v>
      </c>
    </row>
    <row r="33" spans="1:13" s="90" customFormat="1" ht="15" customHeight="1" thickBot="1" x14ac:dyDescent="0.3">
      <c r="A33" s="702"/>
      <c r="B33" s="762"/>
      <c r="C33" s="708"/>
      <c r="D33" s="708"/>
      <c r="E33" s="125" t="s">
        <v>105</v>
      </c>
      <c r="F33" s="131">
        <f>SUM(F31:F32)</f>
        <v>0</v>
      </c>
      <c r="G33" s="131">
        <f t="shared" ref="G33" si="23">SUM(G31:G32)</f>
        <v>0</v>
      </c>
      <c r="H33" s="131">
        <f t="shared" ref="H33" si="24">SUM(H31:H32)</f>
        <v>0</v>
      </c>
      <c r="I33" s="131">
        <f t="shared" ref="I33" si="25">SUM(I31:I32)</f>
        <v>191995</v>
      </c>
      <c r="J33" s="131">
        <f t="shared" ref="J33:K33" si="26">SUM(J31:J32)</f>
        <v>0</v>
      </c>
      <c r="K33" s="131">
        <f t="shared" si="26"/>
        <v>0</v>
      </c>
      <c r="L33" s="132">
        <f t="shared" ref="L33" si="27">SUM(L31:L32)</f>
        <v>191995</v>
      </c>
    </row>
    <row r="34" spans="1:13" s="90" customFormat="1" ht="15" customHeight="1" x14ac:dyDescent="0.25">
      <c r="A34" s="700" t="s">
        <v>93</v>
      </c>
      <c r="B34" s="760" t="s">
        <v>312</v>
      </c>
      <c r="C34" s="706">
        <v>283673</v>
      </c>
      <c r="D34" s="706">
        <v>283673</v>
      </c>
      <c r="E34" s="124" t="s">
        <v>137</v>
      </c>
      <c r="F34" s="127">
        <v>0</v>
      </c>
      <c r="G34" s="127">
        <v>0</v>
      </c>
      <c r="H34" s="127">
        <v>0</v>
      </c>
      <c r="I34" s="127">
        <v>283673</v>
      </c>
      <c r="J34" s="127">
        <v>0</v>
      </c>
      <c r="K34" s="148">
        <v>0</v>
      </c>
      <c r="L34" s="128">
        <f>SUM(F34:J34)</f>
        <v>283673</v>
      </c>
    </row>
    <row r="35" spans="1:13" s="90" customFormat="1" ht="15" customHeight="1" x14ac:dyDescent="0.25">
      <c r="A35" s="701"/>
      <c r="B35" s="761"/>
      <c r="C35" s="707"/>
      <c r="D35" s="707"/>
      <c r="E35" s="123" t="s">
        <v>138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47">
        <v>0</v>
      </c>
      <c r="L35" s="130">
        <f>SUM(F35:J35)</f>
        <v>0</v>
      </c>
    </row>
    <row r="36" spans="1:13" s="90" customFormat="1" ht="15" customHeight="1" thickBot="1" x14ac:dyDescent="0.3">
      <c r="A36" s="702"/>
      <c r="B36" s="762"/>
      <c r="C36" s="708"/>
      <c r="D36" s="708"/>
      <c r="E36" s="125" t="s">
        <v>105</v>
      </c>
      <c r="F36" s="131">
        <f>SUM(F34:F35)</f>
        <v>0</v>
      </c>
      <c r="G36" s="131">
        <f t="shared" ref="G36" si="28">SUM(G34:G35)</f>
        <v>0</v>
      </c>
      <c r="H36" s="131">
        <f t="shared" ref="H36" si="29">SUM(H34:H35)</f>
        <v>0</v>
      </c>
      <c r="I36" s="131">
        <f t="shared" ref="I36" si="30">SUM(I34:I35)</f>
        <v>283673</v>
      </c>
      <c r="J36" s="131">
        <f t="shared" ref="J36:K36" si="31">SUM(J34:J35)</f>
        <v>0</v>
      </c>
      <c r="K36" s="131">
        <f t="shared" si="31"/>
        <v>0</v>
      </c>
      <c r="L36" s="132">
        <f t="shared" ref="L36" si="32">SUM(L34:L35)</f>
        <v>283673</v>
      </c>
    </row>
    <row r="37" spans="1:13" s="90" customFormat="1" ht="15" customHeight="1" x14ac:dyDescent="0.25">
      <c r="A37" s="700" t="s">
        <v>128</v>
      </c>
      <c r="B37" s="760" t="s">
        <v>313</v>
      </c>
      <c r="C37" s="706">
        <v>42397</v>
      </c>
      <c r="D37" s="706">
        <v>42397</v>
      </c>
      <c r="E37" s="124" t="s">
        <v>137</v>
      </c>
      <c r="F37" s="127">
        <v>0</v>
      </c>
      <c r="G37" s="127">
        <v>0</v>
      </c>
      <c r="H37" s="127">
        <v>0</v>
      </c>
      <c r="I37" s="127">
        <v>42397</v>
      </c>
      <c r="J37" s="127">
        <v>0</v>
      </c>
      <c r="K37" s="127">
        <v>0</v>
      </c>
      <c r="L37" s="128">
        <f>SUM(F37:J37)</f>
        <v>42397</v>
      </c>
    </row>
    <row r="38" spans="1:13" s="90" customFormat="1" ht="15" customHeight="1" x14ac:dyDescent="0.25">
      <c r="A38" s="701"/>
      <c r="B38" s="761"/>
      <c r="C38" s="707"/>
      <c r="D38" s="707"/>
      <c r="E38" s="123" t="s">
        <v>138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30">
        <f>SUM(F38:J38)</f>
        <v>0</v>
      </c>
    </row>
    <row r="39" spans="1:13" s="90" customFormat="1" ht="15" customHeight="1" thickBot="1" x14ac:dyDescent="0.3">
      <c r="A39" s="702"/>
      <c r="B39" s="762"/>
      <c r="C39" s="708"/>
      <c r="D39" s="708"/>
      <c r="E39" s="125" t="s">
        <v>105</v>
      </c>
      <c r="F39" s="131">
        <f>SUM(F37:F38)</f>
        <v>0</v>
      </c>
      <c r="G39" s="131">
        <f t="shared" ref="G39" si="33">SUM(G37:G38)</f>
        <v>0</v>
      </c>
      <c r="H39" s="131">
        <f t="shared" ref="H39" si="34">SUM(H37:H38)</f>
        <v>0</v>
      </c>
      <c r="I39" s="131">
        <f t="shared" ref="I39" si="35">SUM(I37:I38)</f>
        <v>42397</v>
      </c>
      <c r="J39" s="131">
        <f t="shared" ref="J39:K39" si="36">SUM(J37:J38)</f>
        <v>0</v>
      </c>
      <c r="K39" s="131">
        <f t="shared" si="36"/>
        <v>0</v>
      </c>
      <c r="L39" s="132">
        <f t="shared" ref="L39" si="37">SUM(L37:L38)</f>
        <v>42397</v>
      </c>
    </row>
    <row r="40" spans="1:13" s="90" customFormat="1" ht="15" customHeight="1" x14ac:dyDescent="0.25">
      <c r="A40" s="700" t="s">
        <v>129</v>
      </c>
      <c r="B40" s="786" t="s">
        <v>314</v>
      </c>
      <c r="C40" s="706">
        <v>2000000</v>
      </c>
      <c r="D40" s="706">
        <v>2000000</v>
      </c>
      <c r="E40" s="459" t="s">
        <v>137</v>
      </c>
      <c r="F40" s="460">
        <v>300000</v>
      </c>
      <c r="G40" s="460">
        <v>39000</v>
      </c>
      <c r="H40" s="461">
        <v>1661000</v>
      </c>
      <c r="I40" s="127">
        <v>0</v>
      </c>
      <c r="J40" s="127">
        <v>0</v>
      </c>
      <c r="K40" s="127">
        <v>0</v>
      </c>
      <c r="L40" s="128">
        <f>SUM(F40:J40)</f>
        <v>2000000</v>
      </c>
    </row>
    <row r="41" spans="1:13" s="90" customFormat="1" ht="15" customHeight="1" x14ac:dyDescent="0.25">
      <c r="A41" s="701"/>
      <c r="B41" s="787"/>
      <c r="C41" s="707"/>
      <c r="D41" s="707"/>
      <c r="E41" s="123" t="s">
        <v>138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30">
        <f>SUM(F41:J41)</f>
        <v>0</v>
      </c>
    </row>
    <row r="42" spans="1:13" s="90" customFormat="1" ht="15" customHeight="1" thickBot="1" x14ac:dyDescent="0.3">
      <c r="A42" s="702"/>
      <c r="B42" s="788"/>
      <c r="C42" s="708"/>
      <c r="D42" s="708"/>
      <c r="E42" s="125" t="s">
        <v>105</v>
      </c>
      <c r="F42" s="131">
        <f>SUM(F40:F41)</f>
        <v>300000</v>
      </c>
      <c r="G42" s="131">
        <f t="shared" ref="G42" si="38">SUM(G40:G41)</f>
        <v>39000</v>
      </c>
      <c r="H42" s="131">
        <f t="shared" ref="H42" si="39">SUM(H40:H41)</f>
        <v>1661000</v>
      </c>
      <c r="I42" s="131">
        <f t="shared" ref="I42" si="40">SUM(I40:I41)</f>
        <v>0</v>
      </c>
      <c r="J42" s="131">
        <f t="shared" ref="J42:K42" si="41">SUM(J40:J41)</f>
        <v>0</v>
      </c>
      <c r="K42" s="131">
        <f t="shared" si="41"/>
        <v>0</v>
      </c>
      <c r="L42" s="132">
        <f t="shared" ref="L42" si="42">SUM(L40:L41)</f>
        <v>2000000</v>
      </c>
    </row>
    <row r="43" spans="1:13" s="90" customFormat="1" ht="17.100000000000001" customHeight="1" x14ac:dyDescent="0.25">
      <c r="A43" s="700" t="s">
        <v>133</v>
      </c>
      <c r="B43" s="786" t="s">
        <v>315</v>
      </c>
      <c r="C43" s="706">
        <v>2999501</v>
      </c>
      <c r="D43" s="706">
        <v>2999501</v>
      </c>
      <c r="E43" s="124" t="s">
        <v>137</v>
      </c>
      <c r="F43" s="127">
        <v>2170154</v>
      </c>
      <c r="G43" s="127">
        <v>101926</v>
      </c>
      <c r="H43" s="127">
        <v>727421</v>
      </c>
      <c r="I43" s="127">
        <v>0</v>
      </c>
      <c r="J43" s="127">
        <v>0</v>
      </c>
      <c r="K43" s="127">
        <v>0</v>
      </c>
      <c r="L43" s="128">
        <f>SUM(F43:J43)</f>
        <v>2999501</v>
      </c>
      <c r="M43" s="793"/>
    </row>
    <row r="44" spans="1:13" s="90" customFormat="1" ht="17.100000000000001" customHeight="1" x14ac:dyDescent="0.25">
      <c r="A44" s="701"/>
      <c r="B44" s="787"/>
      <c r="C44" s="707"/>
      <c r="D44" s="707"/>
      <c r="E44" s="123" t="s">
        <v>138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30">
        <f>SUM(F44:J44)</f>
        <v>0</v>
      </c>
      <c r="M44" s="793"/>
    </row>
    <row r="45" spans="1:13" s="90" customFormat="1" ht="17.100000000000001" customHeight="1" thickBot="1" x14ac:dyDescent="0.3">
      <c r="A45" s="702"/>
      <c r="B45" s="788"/>
      <c r="C45" s="708"/>
      <c r="D45" s="708"/>
      <c r="E45" s="125" t="s">
        <v>105</v>
      </c>
      <c r="F45" s="131">
        <f>SUM(F43:F44)</f>
        <v>2170154</v>
      </c>
      <c r="G45" s="131">
        <f t="shared" ref="G45" si="43">SUM(G43:G44)</f>
        <v>101926</v>
      </c>
      <c r="H45" s="131">
        <f t="shared" ref="H45" si="44">SUM(H43:H44)</f>
        <v>727421</v>
      </c>
      <c r="I45" s="131">
        <f t="shared" ref="I45" si="45">SUM(I43:I44)</f>
        <v>0</v>
      </c>
      <c r="J45" s="131">
        <f t="shared" ref="J45:K45" si="46">SUM(J43:J44)</f>
        <v>0</v>
      </c>
      <c r="K45" s="131">
        <f t="shared" si="46"/>
        <v>0</v>
      </c>
      <c r="L45" s="132">
        <f t="shared" ref="L45" si="47">SUM(L43:L44)</f>
        <v>2999501</v>
      </c>
    </row>
    <row r="46" spans="1:13" s="90" customFormat="1" ht="15" customHeight="1" x14ac:dyDescent="0.25">
      <c r="A46" s="700" t="s">
        <v>149</v>
      </c>
      <c r="B46" s="783" t="s">
        <v>316</v>
      </c>
      <c r="C46" s="706">
        <v>3500000</v>
      </c>
      <c r="D46" s="706">
        <v>3500000</v>
      </c>
      <c r="E46" s="124" t="s">
        <v>137</v>
      </c>
      <c r="F46" s="127">
        <v>432900</v>
      </c>
      <c r="G46" s="127">
        <v>67100</v>
      </c>
      <c r="H46" s="127">
        <v>3000000</v>
      </c>
      <c r="I46" s="127">
        <v>0</v>
      </c>
      <c r="J46" s="127">
        <v>0</v>
      </c>
      <c r="K46" s="127">
        <v>0</v>
      </c>
      <c r="L46" s="128">
        <f>SUM(F46:J46)</f>
        <v>3500000</v>
      </c>
    </row>
    <row r="47" spans="1:13" s="90" customFormat="1" ht="15" customHeight="1" x14ac:dyDescent="0.25">
      <c r="A47" s="701"/>
      <c r="B47" s="784"/>
      <c r="C47" s="707"/>
      <c r="D47" s="707"/>
      <c r="E47" s="123" t="s">
        <v>138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30">
        <f>SUM(F47:J47)</f>
        <v>0</v>
      </c>
    </row>
    <row r="48" spans="1:13" s="90" customFormat="1" ht="15" customHeight="1" thickBot="1" x14ac:dyDescent="0.3">
      <c r="A48" s="702"/>
      <c r="B48" s="785"/>
      <c r="C48" s="708"/>
      <c r="D48" s="708"/>
      <c r="E48" s="125" t="s">
        <v>105</v>
      </c>
      <c r="F48" s="131">
        <f>SUM(F46:F47)</f>
        <v>432900</v>
      </c>
      <c r="G48" s="131">
        <f t="shared" ref="G48" si="48">SUM(G46:G47)</f>
        <v>67100</v>
      </c>
      <c r="H48" s="131">
        <f t="shared" ref="H48" si="49">SUM(H46:H47)</f>
        <v>3000000</v>
      </c>
      <c r="I48" s="131">
        <f t="shared" ref="I48" si="50">SUM(I46:I47)</f>
        <v>0</v>
      </c>
      <c r="J48" s="131">
        <f t="shared" ref="J48:K48" si="51">SUM(J46:J47)</f>
        <v>0</v>
      </c>
      <c r="K48" s="131">
        <f t="shared" si="51"/>
        <v>0</v>
      </c>
      <c r="L48" s="132">
        <f t="shared" ref="L48" si="52">SUM(L46:L47)</f>
        <v>3500000</v>
      </c>
    </row>
    <row r="49" spans="1:12" s="90" customFormat="1" ht="15" customHeight="1" x14ac:dyDescent="0.25">
      <c r="A49" s="700" t="s">
        <v>153</v>
      </c>
      <c r="B49" s="760" t="s">
        <v>317</v>
      </c>
      <c r="C49" s="706">
        <v>12444000</v>
      </c>
      <c r="D49" s="706">
        <v>12444000</v>
      </c>
      <c r="E49" s="124" t="s">
        <v>137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12444000</v>
      </c>
      <c r="L49" s="128">
        <f>SUM(F49:K49)</f>
        <v>12444000</v>
      </c>
    </row>
    <row r="50" spans="1:12" s="90" customFormat="1" ht="15" customHeight="1" x14ac:dyDescent="0.25">
      <c r="A50" s="701"/>
      <c r="B50" s="761"/>
      <c r="C50" s="707"/>
      <c r="D50" s="707"/>
      <c r="E50" s="123" t="s">
        <v>138</v>
      </c>
      <c r="F50" s="129">
        <v>0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30">
        <f>SUM(F50:J50)</f>
        <v>0</v>
      </c>
    </row>
    <row r="51" spans="1:12" s="90" customFormat="1" ht="15" customHeight="1" thickBot="1" x14ac:dyDescent="0.3">
      <c r="A51" s="702"/>
      <c r="B51" s="762"/>
      <c r="C51" s="708"/>
      <c r="D51" s="708"/>
      <c r="E51" s="125" t="s">
        <v>105</v>
      </c>
      <c r="F51" s="131">
        <f>SUM(F49:F50)</f>
        <v>0</v>
      </c>
      <c r="G51" s="131">
        <f t="shared" ref="G51" si="53">SUM(G49:G50)</f>
        <v>0</v>
      </c>
      <c r="H51" s="131">
        <f t="shared" ref="H51" si="54">SUM(H49:H50)</f>
        <v>0</v>
      </c>
      <c r="I51" s="131">
        <f t="shared" ref="I51" si="55">SUM(I49:I50)</f>
        <v>0</v>
      </c>
      <c r="J51" s="131">
        <f t="shared" ref="J51:K51" si="56">SUM(J49:J50)</f>
        <v>0</v>
      </c>
      <c r="K51" s="131">
        <f t="shared" si="56"/>
        <v>12444000</v>
      </c>
      <c r="L51" s="132">
        <f>SUM(L49:L50)</f>
        <v>12444000</v>
      </c>
    </row>
    <row r="52" spans="1:12" s="90" customFormat="1" ht="15" customHeight="1" x14ac:dyDescent="0.25">
      <c r="A52" s="700" t="s">
        <v>154</v>
      </c>
      <c r="B52" s="709" t="s">
        <v>253</v>
      </c>
      <c r="C52" s="706">
        <v>2000000</v>
      </c>
      <c r="D52" s="706">
        <v>2000000</v>
      </c>
      <c r="E52" s="124" t="s">
        <v>137</v>
      </c>
      <c r="F52" s="127">
        <v>0</v>
      </c>
      <c r="G52" s="127">
        <v>0</v>
      </c>
      <c r="H52" s="127">
        <v>0</v>
      </c>
      <c r="I52" s="127">
        <v>2000000</v>
      </c>
      <c r="J52" s="127">
        <v>0</v>
      </c>
      <c r="K52" s="127">
        <v>0</v>
      </c>
      <c r="L52" s="128">
        <f>SUM(F52:J52)</f>
        <v>2000000</v>
      </c>
    </row>
    <row r="53" spans="1:12" s="90" customFormat="1" ht="15" customHeight="1" x14ac:dyDescent="0.25">
      <c r="A53" s="701"/>
      <c r="B53" s="710"/>
      <c r="C53" s="707"/>
      <c r="D53" s="707"/>
      <c r="E53" s="123" t="s">
        <v>138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0</v>
      </c>
      <c r="L53" s="130">
        <f>SUM(F53:J53)</f>
        <v>0</v>
      </c>
    </row>
    <row r="54" spans="1:12" s="90" customFormat="1" ht="15" customHeight="1" thickBot="1" x14ac:dyDescent="0.3">
      <c r="A54" s="702"/>
      <c r="B54" s="711"/>
      <c r="C54" s="708"/>
      <c r="D54" s="708"/>
      <c r="E54" s="125" t="s">
        <v>105</v>
      </c>
      <c r="F54" s="131">
        <f>SUM(F52:F53)</f>
        <v>0</v>
      </c>
      <c r="G54" s="131">
        <f t="shared" ref="G54" si="57">SUM(G52:G53)</f>
        <v>0</v>
      </c>
      <c r="H54" s="131">
        <f t="shared" ref="H54" si="58">SUM(H52:H53)</f>
        <v>0</v>
      </c>
      <c r="I54" s="131">
        <f t="shared" ref="I54" si="59">SUM(I52:I53)</f>
        <v>2000000</v>
      </c>
      <c r="J54" s="131">
        <f t="shared" ref="J54:K54" si="60">SUM(J52:J53)</f>
        <v>0</v>
      </c>
      <c r="K54" s="131">
        <f t="shared" si="60"/>
        <v>0</v>
      </c>
      <c r="L54" s="132">
        <f t="shared" ref="L54" si="61">SUM(L52:L53)</f>
        <v>2000000</v>
      </c>
    </row>
    <row r="55" spans="1:12" s="90" customFormat="1" ht="17.100000000000001" customHeight="1" x14ac:dyDescent="0.25">
      <c r="A55" s="700" t="s">
        <v>155</v>
      </c>
      <c r="B55" s="709" t="s">
        <v>254</v>
      </c>
      <c r="C55" s="706">
        <v>250000</v>
      </c>
      <c r="D55" s="706">
        <v>250000</v>
      </c>
      <c r="E55" s="124" t="s">
        <v>137</v>
      </c>
      <c r="F55" s="127">
        <v>0</v>
      </c>
      <c r="G55" s="127">
        <v>0</v>
      </c>
      <c r="H55" s="127">
        <v>0</v>
      </c>
      <c r="I55" s="127">
        <v>250000</v>
      </c>
      <c r="J55" s="127">
        <v>0</v>
      </c>
      <c r="K55" s="127">
        <v>0</v>
      </c>
      <c r="L55" s="128">
        <f>SUM(F55:J55)</f>
        <v>250000</v>
      </c>
    </row>
    <row r="56" spans="1:12" s="90" customFormat="1" ht="17.100000000000001" customHeight="1" x14ac:dyDescent="0.25">
      <c r="A56" s="701"/>
      <c r="B56" s="710"/>
      <c r="C56" s="707"/>
      <c r="D56" s="707"/>
      <c r="E56" s="123" t="s">
        <v>138</v>
      </c>
      <c r="F56" s="129">
        <v>0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30">
        <f>SUM(F56:J56)</f>
        <v>0</v>
      </c>
    </row>
    <row r="57" spans="1:12" s="90" customFormat="1" ht="17.100000000000001" customHeight="1" thickBot="1" x14ac:dyDescent="0.3">
      <c r="A57" s="702"/>
      <c r="B57" s="711"/>
      <c r="C57" s="708"/>
      <c r="D57" s="708"/>
      <c r="E57" s="125" t="s">
        <v>105</v>
      </c>
      <c r="F57" s="131">
        <f>SUM(F55:F56)</f>
        <v>0</v>
      </c>
      <c r="G57" s="131">
        <f t="shared" ref="G57" si="62">SUM(G55:G56)</f>
        <v>0</v>
      </c>
      <c r="H57" s="131">
        <f t="shared" ref="H57" si="63">SUM(H55:H56)</f>
        <v>0</v>
      </c>
      <c r="I57" s="131">
        <f t="shared" ref="I57" si="64">SUM(I55:I56)</f>
        <v>250000</v>
      </c>
      <c r="J57" s="131">
        <f t="shared" ref="J57:K57" si="65">SUM(J55:J56)</f>
        <v>0</v>
      </c>
      <c r="K57" s="131">
        <f t="shared" si="65"/>
        <v>0</v>
      </c>
      <c r="L57" s="132">
        <f t="shared" ref="L57" si="66">SUM(L55:L56)</f>
        <v>250000</v>
      </c>
    </row>
    <row r="58" spans="1:12" s="90" customFormat="1" ht="15" customHeight="1" x14ac:dyDescent="0.25">
      <c r="A58" s="700" t="s">
        <v>156</v>
      </c>
      <c r="B58" s="797" t="s">
        <v>210</v>
      </c>
      <c r="C58" s="789">
        <v>6000000</v>
      </c>
      <c r="D58" s="706">
        <v>4000000</v>
      </c>
      <c r="E58" s="124" t="s">
        <v>137</v>
      </c>
      <c r="F58" s="127">
        <v>0</v>
      </c>
      <c r="G58" s="127">
        <v>0</v>
      </c>
      <c r="H58" s="127">
        <v>0</v>
      </c>
      <c r="I58" s="127">
        <v>6000000</v>
      </c>
      <c r="J58" s="127">
        <v>0</v>
      </c>
      <c r="K58" s="127">
        <v>0</v>
      </c>
      <c r="L58" s="128">
        <f>SUM(F58:J58)</f>
        <v>6000000</v>
      </c>
    </row>
    <row r="59" spans="1:12" s="90" customFormat="1" ht="15" customHeight="1" x14ac:dyDescent="0.25">
      <c r="A59" s="701"/>
      <c r="B59" s="798"/>
      <c r="C59" s="790"/>
      <c r="D59" s="707"/>
      <c r="E59" s="123" t="s">
        <v>138</v>
      </c>
      <c r="F59" s="129">
        <v>0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30">
        <f>SUM(F59:J59)</f>
        <v>0</v>
      </c>
    </row>
    <row r="60" spans="1:12" s="90" customFormat="1" ht="15" customHeight="1" thickBot="1" x14ac:dyDescent="0.3">
      <c r="A60" s="702"/>
      <c r="B60" s="799"/>
      <c r="C60" s="791"/>
      <c r="D60" s="708"/>
      <c r="E60" s="125" t="s">
        <v>105</v>
      </c>
      <c r="F60" s="131">
        <f>SUM(F58:F59)</f>
        <v>0</v>
      </c>
      <c r="G60" s="131">
        <f t="shared" ref="G60" si="67">SUM(G58:G59)</f>
        <v>0</v>
      </c>
      <c r="H60" s="131">
        <f t="shared" ref="H60" si="68">SUM(H58:H59)</f>
        <v>0</v>
      </c>
      <c r="I60" s="131">
        <f t="shared" ref="I60" si="69">SUM(I58:I59)</f>
        <v>6000000</v>
      </c>
      <c r="J60" s="131">
        <f t="shared" ref="J60:K60" si="70">SUM(J58:J59)</f>
        <v>0</v>
      </c>
      <c r="K60" s="131">
        <f t="shared" si="70"/>
        <v>0</v>
      </c>
      <c r="L60" s="132">
        <f t="shared" ref="L60" si="71">SUM(L58:L59)</f>
        <v>6000000</v>
      </c>
    </row>
    <row r="61" spans="1:12" s="90" customFormat="1" ht="17.100000000000001" customHeight="1" x14ac:dyDescent="0.25">
      <c r="A61" s="700" t="s">
        <v>157</v>
      </c>
      <c r="B61" s="800" t="s">
        <v>320</v>
      </c>
      <c r="C61" s="706">
        <v>1054500</v>
      </c>
      <c r="D61" s="706">
        <v>1054500</v>
      </c>
      <c r="E61" s="124" t="s">
        <v>137</v>
      </c>
      <c r="F61" s="127">
        <v>0</v>
      </c>
      <c r="G61" s="127">
        <v>0</v>
      </c>
      <c r="H61" s="127">
        <v>1054500</v>
      </c>
      <c r="I61" s="127">
        <v>0</v>
      </c>
      <c r="J61" s="127">
        <v>0</v>
      </c>
      <c r="K61" s="127">
        <v>0</v>
      </c>
      <c r="L61" s="128">
        <f>SUM(F61:J61)</f>
        <v>1054500</v>
      </c>
    </row>
    <row r="62" spans="1:12" s="90" customFormat="1" ht="17.100000000000001" customHeight="1" x14ac:dyDescent="0.25">
      <c r="A62" s="701"/>
      <c r="B62" s="795"/>
      <c r="C62" s="707"/>
      <c r="D62" s="707"/>
      <c r="E62" s="123" t="s">
        <v>138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30">
        <f>SUM(F62:J62)</f>
        <v>0</v>
      </c>
    </row>
    <row r="63" spans="1:12" s="90" customFormat="1" ht="17.100000000000001" customHeight="1" thickBot="1" x14ac:dyDescent="0.3">
      <c r="A63" s="702"/>
      <c r="B63" s="796"/>
      <c r="C63" s="708"/>
      <c r="D63" s="708"/>
      <c r="E63" s="125" t="s">
        <v>105</v>
      </c>
      <c r="F63" s="131">
        <f>SUM(F61:F62)</f>
        <v>0</v>
      </c>
      <c r="G63" s="131">
        <f t="shared" ref="G63" si="72">SUM(G61:G62)</f>
        <v>0</v>
      </c>
      <c r="H63" s="131">
        <f t="shared" ref="H63" si="73">SUM(H61:H62)</f>
        <v>1054500</v>
      </c>
      <c r="I63" s="131">
        <f t="shared" ref="I63" si="74">SUM(I61:I62)</f>
        <v>0</v>
      </c>
      <c r="J63" s="131">
        <f t="shared" ref="J63:K63" si="75">SUM(J61:J62)</f>
        <v>0</v>
      </c>
      <c r="K63" s="131">
        <f t="shared" si="75"/>
        <v>0</v>
      </c>
      <c r="L63" s="132">
        <f t="shared" ref="L63" si="76">SUM(L61:L62)</f>
        <v>1054500</v>
      </c>
    </row>
    <row r="64" spans="1:12" s="90" customFormat="1" ht="15" customHeight="1" x14ac:dyDescent="0.25">
      <c r="A64" s="700" t="s">
        <v>168</v>
      </c>
      <c r="B64" s="794" t="s">
        <v>321</v>
      </c>
      <c r="C64" s="706">
        <v>50000</v>
      </c>
      <c r="D64" s="706">
        <v>50000</v>
      </c>
      <c r="E64" s="124" t="s">
        <v>137</v>
      </c>
      <c r="F64" s="127">
        <v>0</v>
      </c>
      <c r="G64" s="127">
        <v>0</v>
      </c>
      <c r="H64" s="127">
        <v>50000</v>
      </c>
      <c r="I64" s="127">
        <v>0</v>
      </c>
      <c r="J64" s="127">
        <v>0</v>
      </c>
      <c r="K64" s="127">
        <v>0</v>
      </c>
      <c r="L64" s="128">
        <f>SUM(F64:K64)</f>
        <v>50000</v>
      </c>
    </row>
    <row r="65" spans="1:13" s="90" customFormat="1" ht="15" customHeight="1" x14ac:dyDescent="0.25">
      <c r="A65" s="701"/>
      <c r="B65" s="795"/>
      <c r="C65" s="707"/>
      <c r="D65" s="707"/>
      <c r="E65" s="123" t="s">
        <v>138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30">
        <f>SUM(F65:J65)</f>
        <v>0</v>
      </c>
    </row>
    <row r="66" spans="1:13" s="90" customFormat="1" ht="15" customHeight="1" thickBot="1" x14ac:dyDescent="0.3">
      <c r="A66" s="702"/>
      <c r="B66" s="796"/>
      <c r="C66" s="708"/>
      <c r="D66" s="708"/>
      <c r="E66" s="125" t="s">
        <v>105</v>
      </c>
      <c r="F66" s="131">
        <f>SUM(F64:F65)</f>
        <v>0</v>
      </c>
      <c r="G66" s="131">
        <f t="shared" ref="G66" si="77">SUM(G64:G65)</f>
        <v>0</v>
      </c>
      <c r="H66" s="131">
        <f t="shared" ref="H66" si="78">SUM(H64:H65)</f>
        <v>50000</v>
      </c>
      <c r="I66" s="131">
        <f t="shared" ref="I66" si="79">SUM(I64:I65)</f>
        <v>0</v>
      </c>
      <c r="J66" s="131">
        <f t="shared" ref="J66:K66" si="80">SUM(J64:J65)</f>
        <v>0</v>
      </c>
      <c r="K66" s="131">
        <f t="shared" si="80"/>
        <v>0</v>
      </c>
      <c r="L66" s="132">
        <f t="shared" ref="L66" si="81">SUM(L64:L65)</f>
        <v>50000</v>
      </c>
    </row>
    <row r="67" spans="1:13" s="90" customFormat="1" ht="15" customHeight="1" x14ac:dyDescent="0.25">
      <c r="A67" s="700" t="s">
        <v>169</v>
      </c>
      <c r="B67" s="760" t="s">
        <v>322</v>
      </c>
      <c r="C67" s="706">
        <v>50000</v>
      </c>
      <c r="D67" s="706">
        <v>50000</v>
      </c>
      <c r="E67" s="124" t="s">
        <v>137</v>
      </c>
      <c r="F67" s="127">
        <v>0</v>
      </c>
      <c r="G67" s="127">
        <v>0</v>
      </c>
      <c r="H67" s="127">
        <v>50000</v>
      </c>
      <c r="I67" s="127">
        <v>0</v>
      </c>
      <c r="J67" s="127">
        <v>0</v>
      </c>
      <c r="K67" s="127">
        <v>0</v>
      </c>
      <c r="L67" s="128">
        <f>SUM(F67:J67)</f>
        <v>50000</v>
      </c>
    </row>
    <row r="68" spans="1:13" s="90" customFormat="1" ht="15" customHeight="1" x14ac:dyDescent="0.25">
      <c r="A68" s="701"/>
      <c r="B68" s="761"/>
      <c r="C68" s="707"/>
      <c r="D68" s="707"/>
      <c r="E68" s="123" t="s">
        <v>138</v>
      </c>
      <c r="F68" s="129">
        <v>0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30">
        <f>SUM(F68:J68)</f>
        <v>0</v>
      </c>
    </row>
    <row r="69" spans="1:13" s="90" customFormat="1" ht="15" customHeight="1" thickBot="1" x14ac:dyDescent="0.3">
      <c r="A69" s="702"/>
      <c r="B69" s="762"/>
      <c r="C69" s="708"/>
      <c r="D69" s="708"/>
      <c r="E69" s="125" t="s">
        <v>105</v>
      </c>
      <c r="F69" s="131">
        <f>SUM(F67:F68)</f>
        <v>0</v>
      </c>
      <c r="G69" s="131">
        <f t="shared" ref="G69:L69" si="82">SUM(G67:G68)</f>
        <v>0</v>
      </c>
      <c r="H69" s="131">
        <f t="shared" si="82"/>
        <v>50000</v>
      </c>
      <c r="I69" s="131">
        <f t="shared" si="82"/>
        <v>0</v>
      </c>
      <c r="J69" s="131">
        <f t="shared" si="82"/>
        <v>0</v>
      </c>
      <c r="K69" s="131">
        <f t="shared" si="82"/>
        <v>0</v>
      </c>
      <c r="L69" s="132">
        <f t="shared" si="82"/>
        <v>50000</v>
      </c>
    </row>
    <row r="70" spans="1:13" s="90" customFormat="1" ht="15" customHeight="1" x14ac:dyDescent="0.25">
      <c r="A70" s="700" t="s">
        <v>170</v>
      </c>
      <c r="B70" s="760" t="s">
        <v>211</v>
      </c>
      <c r="C70" s="706">
        <v>113000</v>
      </c>
      <c r="D70" s="706">
        <v>113000</v>
      </c>
      <c r="E70" s="124" t="s">
        <v>137</v>
      </c>
      <c r="F70" s="127">
        <v>100000</v>
      </c>
      <c r="G70" s="127">
        <v>13000</v>
      </c>
      <c r="H70" s="127">
        <v>0</v>
      </c>
      <c r="I70" s="127">
        <v>0</v>
      </c>
      <c r="J70" s="127">
        <v>0</v>
      </c>
      <c r="K70" s="127">
        <v>0</v>
      </c>
      <c r="L70" s="128">
        <f>SUM(F70:J70)</f>
        <v>113000</v>
      </c>
    </row>
    <row r="71" spans="1:13" s="90" customFormat="1" ht="15" customHeight="1" x14ac:dyDescent="0.25">
      <c r="A71" s="701"/>
      <c r="B71" s="761"/>
      <c r="C71" s="707"/>
      <c r="D71" s="707"/>
      <c r="E71" s="123" t="s">
        <v>138</v>
      </c>
      <c r="F71" s="129">
        <v>0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30">
        <f>SUM(F71:J71)</f>
        <v>0</v>
      </c>
    </row>
    <row r="72" spans="1:13" s="90" customFormat="1" ht="15" customHeight="1" thickBot="1" x14ac:dyDescent="0.3">
      <c r="A72" s="702"/>
      <c r="B72" s="762"/>
      <c r="C72" s="708"/>
      <c r="D72" s="708"/>
      <c r="E72" s="125" t="s">
        <v>105</v>
      </c>
      <c r="F72" s="131">
        <f>SUM(F70:F71)</f>
        <v>100000</v>
      </c>
      <c r="G72" s="131">
        <f t="shared" ref="G72" si="83">SUM(G70:G71)</f>
        <v>13000</v>
      </c>
      <c r="H72" s="131">
        <f t="shared" ref="H72" si="84">SUM(H70:H71)</f>
        <v>0</v>
      </c>
      <c r="I72" s="131">
        <f t="shared" ref="I72" si="85">SUM(I70:I71)</f>
        <v>0</v>
      </c>
      <c r="J72" s="131">
        <f t="shared" ref="J72:K72" si="86">SUM(J70:J71)</f>
        <v>0</v>
      </c>
      <c r="K72" s="131">
        <f t="shared" si="86"/>
        <v>0</v>
      </c>
      <c r="L72" s="132">
        <f t="shared" ref="L72" si="87">SUM(L70:L71)</f>
        <v>113000</v>
      </c>
    </row>
    <row r="73" spans="1:13" s="90" customFormat="1" ht="17.100000000000001" customHeight="1" x14ac:dyDescent="0.25">
      <c r="A73" s="700" t="s">
        <v>171</v>
      </c>
      <c r="B73" s="606" t="s">
        <v>318</v>
      </c>
      <c r="C73" s="706">
        <v>910000</v>
      </c>
      <c r="D73" s="706">
        <v>910000</v>
      </c>
      <c r="E73" s="124" t="s">
        <v>137</v>
      </c>
      <c r="F73" s="127">
        <v>0</v>
      </c>
      <c r="G73" s="127">
        <v>0</v>
      </c>
      <c r="H73" s="127">
        <v>910000</v>
      </c>
      <c r="I73" s="127">
        <v>0</v>
      </c>
      <c r="J73" s="127">
        <v>0</v>
      </c>
      <c r="K73" s="127">
        <v>0</v>
      </c>
      <c r="L73" s="128">
        <f>SUM(F73:J73)</f>
        <v>910000</v>
      </c>
    </row>
    <row r="74" spans="1:13" s="90" customFormat="1" ht="17.100000000000001" customHeight="1" x14ac:dyDescent="0.25">
      <c r="A74" s="701"/>
      <c r="B74" s="607"/>
      <c r="C74" s="707"/>
      <c r="D74" s="707"/>
      <c r="E74" s="123" t="s">
        <v>138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30">
        <f>SUM(F74:J74)</f>
        <v>0</v>
      </c>
    </row>
    <row r="75" spans="1:13" s="90" customFormat="1" ht="17.100000000000001" customHeight="1" thickBot="1" x14ac:dyDescent="0.3">
      <c r="A75" s="702"/>
      <c r="B75" s="608"/>
      <c r="C75" s="708"/>
      <c r="D75" s="708"/>
      <c r="E75" s="125" t="s">
        <v>105</v>
      </c>
      <c r="F75" s="131">
        <f>SUM(F73:F74)</f>
        <v>0</v>
      </c>
      <c r="G75" s="131">
        <f t="shared" ref="G75" si="88">SUM(G73:G74)</f>
        <v>0</v>
      </c>
      <c r="H75" s="131">
        <f t="shared" ref="H75" si="89">SUM(H73:H74)</f>
        <v>910000</v>
      </c>
      <c r="I75" s="131">
        <f t="shared" ref="I75" si="90">SUM(I73:I74)</f>
        <v>0</v>
      </c>
      <c r="J75" s="131">
        <f t="shared" ref="J75:K75" si="91">SUM(J73:J74)</f>
        <v>0</v>
      </c>
      <c r="K75" s="131">
        <f t="shared" si="91"/>
        <v>0</v>
      </c>
      <c r="L75" s="132">
        <f t="shared" ref="L75" si="92">SUM(L73:L74)</f>
        <v>910000</v>
      </c>
    </row>
    <row r="76" spans="1:13" s="90" customFormat="1" ht="17.100000000000001" customHeight="1" x14ac:dyDescent="0.25">
      <c r="A76" s="700" t="s">
        <v>172</v>
      </c>
      <c r="B76" s="760" t="s">
        <v>319</v>
      </c>
      <c r="C76" s="706">
        <v>11360925</v>
      </c>
      <c r="D76" s="706">
        <v>11360925</v>
      </c>
      <c r="E76" s="124" t="s">
        <v>137</v>
      </c>
      <c r="F76" s="127">
        <v>0</v>
      </c>
      <c r="G76" s="127">
        <v>0</v>
      </c>
      <c r="H76" s="127">
        <v>11360925</v>
      </c>
      <c r="I76" s="127">
        <v>0</v>
      </c>
      <c r="J76" s="127">
        <v>0</v>
      </c>
      <c r="K76" s="127">
        <v>0</v>
      </c>
      <c r="L76" s="128">
        <f>SUM(F76:J76)</f>
        <v>11360925</v>
      </c>
    </row>
    <row r="77" spans="1:13" s="90" customFormat="1" ht="17.100000000000001" customHeight="1" x14ac:dyDescent="0.25">
      <c r="A77" s="701"/>
      <c r="B77" s="761"/>
      <c r="C77" s="707"/>
      <c r="D77" s="707"/>
      <c r="E77" s="123" t="s">
        <v>138</v>
      </c>
      <c r="F77" s="129">
        <v>0</v>
      </c>
      <c r="G77" s="129">
        <v>0</v>
      </c>
      <c r="H77" s="129">
        <v>0</v>
      </c>
      <c r="I77" s="129">
        <v>0</v>
      </c>
      <c r="J77" s="129">
        <v>0</v>
      </c>
      <c r="K77" s="129">
        <v>0</v>
      </c>
      <c r="L77" s="130">
        <f>SUM(F77:J77)</f>
        <v>0</v>
      </c>
      <c r="M77" s="792"/>
    </row>
    <row r="78" spans="1:13" s="90" customFormat="1" ht="17.100000000000001" customHeight="1" thickBot="1" x14ac:dyDescent="0.3">
      <c r="A78" s="702"/>
      <c r="B78" s="762"/>
      <c r="C78" s="708"/>
      <c r="D78" s="708"/>
      <c r="E78" s="125" t="s">
        <v>105</v>
      </c>
      <c r="F78" s="131">
        <f>SUM(F76:F77)</f>
        <v>0</v>
      </c>
      <c r="G78" s="131">
        <f t="shared" ref="G78" si="93">SUM(G76:G77)</f>
        <v>0</v>
      </c>
      <c r="H78" s="131">
        <f t="shared" ref="H78" si="94">SUM(H76:H77)</f>
        <v>11360925</v>
      </c>
      <c r="I78" s="131">
        <f t="shared" ref="I78" si="95">SUM(I76:I77)</f>
        <v>0</v>
      </c>
      <c r="J78" s="131">
        <f t="shared" ref="J78" si="96">SUM(J76:J77)</f>
        <v>0</v>
      </c>
      <c r="K78" s="131">
        <f t="shared" ref="K78" si="97">SUM(K76:K77)</f>
        <v>0</v>
      </c>
      <c r="L78" s="132">
        <f t="shared" ref="L78" si="98">SUM(L76:L77)</f>
        <v>11360925</v>
      </c>
      <c r="M78" s="792"/>
    </row>
    <row r="79" spans="1:13" s="90" customFormat="1" ht="15" customHeight="1" x14ac:dyDescent="0.25">
      <c r="A79" s="700" t="s">
        <v>175</v>
      </c>
      <c r="B79" s="760" t="s">
        <v>234</v>
      </c>
      <c r="C79" s="706">
        <v>4699000</v>
      </c>
      <c r="D79" s="706">
        <v>2540000</v>
      </c>
      <c r="E79" s="124" t="s">
        <v>137</v>
      </c>
      <c r="F79" s="127">
        <v>0</v>
      </c>
      <c r="G79" s="127">
        <v>0</v>
      </c>
      <c r="H79" s="127">
        <v>0</v>
      </c>
      <c r="I79" s="127">
        <v>0</v>
      </c>
      <c r="J79" s="127">
        <v>4064000</v>
      </c>
      <c r="K79" s="127">
        <v>0</v>
      </c>
      <c r="L79" s="128">
        <f>SUM(F79:J79)</f>
        <v>4064000</v>
      </c>
      <c r="M79" s="792"/>
    </row>
    <row r="80" spans="1:13" s="90" customFormat="1" ht="15" customHeight="1" x14ac:dyDescent="0.25">
      <c r="A80" s="701"/>
      <c r="B80" s="761"/>
      <c r="C80" s="707"/>
      <c r="D80" s="707"/>
      <c r="E80" s="123" t="s">
        <v>138</v>
      </c>
      <c r="F80" s="129">
        <v>0</v>
      </c>
      <c r="G80" s="129">
        <v>0</v>
      </c>
      <c r="H80" s="129">
        <v>0</v>
      </c>
      <c r="I80" s="129">
        <v>0</v>
      </c>
      <c r="J80" s="129">
        <v>635000</v>
      </c>
      <c r="K80" s="129">
        <v>0</v>
      </c>
      <c r="L80" s="130">
        <f>SUM(F80:J80)</f>
        <v>635000</v>
      </c>
      <c r="M80" s="792"/>
    </row>
    <row r="81" spans="1:13" s="90" customFormat="1" ht="15" customHeight="1" thickBot="1" x14ac:dyDescent="0.3">
      <c r="A81" s="702"/>
      <c r="B81" s="762"/>
      <c r="C81" s="708"/>
      <c r="D81" s="708"/>
      <c r="E81" s="125" t="s">
        <v>105</v>
      </c>
      <c r="F81" s="131">
        <f>SUM(F79:F80)</f>
        <v>0</v>
      </c>
      <c r="G81" s="131">
        <f t="shared" ref="G81:L81" si="99">SUM(G79:G80)</f>
        <v>0</v>
      </c>
      <c r="H81" s="131">
        <f t="shared" si="99"/>
        <v>0</v>
      </c>
      <c r="I81" s="131">
        <f t="shared" si="99"/>
        <v>0</v>
      </c>
      <c r="J81" s="131">
        <f t="shared" si="99"/>
        <v>4699000</v>
      </c>
      <c r="K81" s="131">
        <f t="shared" si="99"/>
        <v>0</v>
      </c>
      <c r="L81" s="132">
        <f t="shared" si="99"/>
        <v>4699000</v>
      </c>
      <c r="M81" s="792"/>
    </row>
    <row r="82" spans="1:13" s="90" customFormat="1" ht="15" customHeight="1" x14ac:dyDescent="0.25">
      <c r="A82" s="700" t="s">
        <v>178</v>
      </c>
      <c r="B82" s="709" t="s">
        <v>323</v>
      </c>
      <c r="C82" s="789">
        <v>16000000</v>
      </c>
      <c r="D82" s="789">
        <v>16000000</v>
      </c>
      <c r="E82" s="124" t="s">
        <v>137</v>
      </c>
      <c r="F82" s="127">
        <v>0</v>
      </c>
      <c r="G82" s="127">
        <v>0</v>
      </c>
      <c r="H82" s="127">
        <v>16000000</v>
      </c>
      <c r="I82" s="127">
        <v>0</v>
      </c>
      <c r="J82" s="127">
        <v>0</v>
      </c>
      <c r="K82" s="127">
        <v>0</v>
      </c>
      <c r="L82" s="128">
        <f>SUM(F82:J82)</f>
        <v>16000000</v>
      </c>
      <c r="M82" s="792"/>
    </row>
    <row r="83" spans="1:13" s="90" customFormat="1" ht="15" customHeight="1" x14ac:dyDescent="0.25">
      <c r="A83" s="701"/>
      <c r="B83" s="710"/>
      <c r="C83" s="790"/>
      <c r="D83" s="790"/>
      <c r="E83" s="123" t="s">
        <v>138</v>
      </c>
      <c r="F83" s="129">
        <v>0</v>
      </c>
      <c r="G83" s="129">
        <v>0</v>
      </c>
      <c r="H83" s="129">
        <v>0</v>
      </c>
      <c r="I83" s="129">
        <v>0</v>
      </c>
      <c r="J83" s="129">
        <v>0</v>
      </c>
      <c r="K83" s="129">
        <v>0</v>
      </c>
      <c r="L83" s="130">
        <f>SUM(F83:J83)</f>
        <v>0</v>
      </c>
      <c r="M83" s="792"/>
    </row>
    <row r="84" spans="1:13" s="90" customFormat="1" ht="15" customHeight="1" thickBot="1" x14ac:dyDescent="0.3">
      <c r="A84" s="702"/>
      <c r="B84" s="711"/>
      <c r="C84" s="791"/>
      <c r="D84" s="791"/>
      <c r="E84" s="125" t="s">
        <v>105</v>
      </c>
      <c r="F84" s="131">
        <f>SUM(F82:F83)</f>
        <v>0</v>
      </c>
      <c r="G84" s="131">
        <f t="shared" ref="G84:L84" si="100">SUM(G82:G83)</f>
        <v>0</v>
      </c>
      <c r="H84" s="131">
        <f t="shared" si="100"/>
        <v>16000000</v>
      </c>
      <c r="I84" s="131">
        <f t="shared" si="100"/>
        <v>0</v>
      </c>
      <c r="J84" s="131">
        <f t="shared" si="100"/>
        <v>0</v>
      </c>
      <c r="K84" s="131">
        <f t="shared" si="100"/>
        <v>0</v>
      </c>
      <c r="L84" s="132">
        <f t="shared" si="100"/>
        <v>16000000</v>
      </c>
      <c r="M84" s="792"/>
    </row>
    <row r="85" spans="1:13" s="90" customFormat="1" ht="15" customHeight="1" x14ac:dyDescent="0.25">
      <c r="A85" s="700" t="s">
        <v>330</v>
      </c>
      <c r="B85" s="709" t="s">
        <v>326</v>
      </c>
      <c r="C85" s="789">
        <v>21346280</v>
      </c>
      <c r="D85" s="789">
        <v>17356280</v>
      </c>
      <c r="E85" s="124" t="s">
        <v>137</v>
      </c>
      <c r="F85" s="127">
        <v>3000000</v>
      </c>
      <c r="G85" s="127">
        <v>990000</v>
      </c>
      <c r="H85" s="127">
        <v>17356280</v>
      </c>
      <c r="I85" s="127">
        <v>0</v>
      </c>
      <c r="J85" s="127">
        <v>0</v>
      </c>
      <c r="K85" s="127">
        <v>0</v>
      </c>
      <c r="L85" s="128">
        <f>SUM(F85:J85)</f>
        <v>21346280</v>
      </c>
      <c r="M85" s="792"/>
    </row>
    <row r="86" spans="1:13" s="90" customFormat="1" ht="15" customHeight="1" x14ac:dyDescent="0.25">
      <c r="A86" s="701"/>
      <c r="B86" s="710"/>
      <c r="C86" s="790"/>
      <c r="D86" s="790"/>
      <c r="E86" s="123" t="s">
        <v>138</v>
      </c>
      <c r="F86" s="129">
        <v>0</v>
      </c>
      <c r="G86" s="129">
        <v>0</v>
      </c>
      <c r="H86" s="129">
        <v>0</v>
      </c>
      <c r="I86" s="129">
        <v>0</v>
      </c>
      <c r="J86" s="129">
        <v>0</v>
      </c>
      <c r="K86" s="129">
        <v>0</v>
      </c>
      <c r="L86" s="130">
        <f>SUM(F86:J86)</f>
        <v>0</v>
      </c>
      <c r="M86" s="792"/>
    </row>
    <row r="87" spans="1:13" s="90" customFormat="1" ht="15" customHeight="1" thickBot="1" x14ac:dyDescent="0.3">
      <c r="A87" s="702"/>
      <c r="B87" s="711"/>
      <c r="C87" s="791"/>
      <c r="D87" s="791"/>
      <c r="E87" s="125" t="s">
        <v>105</v>
      </c>
      <c r="F87" s="131">
        <f>SUM(F85:F86)</f>
        <v>3000000</v>
      </c>
      <c r="G87" s="131">
        <f t="shared" ref="G87" si="101">SUM(G85:G86)</f>
        <v>990000</v>
      </c>
      <c r="H87" s="131">
        <f t="shared" ref="H87" si="102">SUM(H85:H86)</f>
        <v>17356280</v>
      </c>
      <c r="I87" s="131">
        <f t="shared" ref="I87" si="103">SUM(I85:I86)</f>
        <v>0</v>
      </c>
      <c r="J87" s="131">
        <f t="shared" ref="J87" si="104">SUM(J85:J86)</f>
        <v>0</v>
      </c>
      <c r="K87" s="131">
        <f t="shared" ref="K87" si="105">SUM(K85:K86)</f>
        <v>0</v>
      </c>
      <c r="L87" s="132">
        <f t="shared" ref="L87" si="106">SUM(L85:L86)</f>
        <v>21346280</v>
      </c>
    </row>
    <row r="88" spans="1:13" s="90" customFormat="1" ht="15" customHeight="1" x14ac:dyDescent="0.25">
      <c r="A88" s="700" t="s">
        <v>331</v>
      </c>
      <c r="B88" s="709" t="s">
        <v>324</v>
      </c>
      <c r="C88" s="789">
        <v>16950000</v>
      </c>
      <c r="D88" s="706">
        <v>16950000</v>
      </c>
      <c r="E88" s="124" t="s">
        <v>137</v>
      </c>
      <c r="F88" s="127">
        <v>0</v>
      </c>
      <c r="G88" s="127">
        <v>0</v>
      </c>
      <c r="H88" s="127">
        <v>0</v>
      </c>
      <c r="I88" s="127"/>
      <c r="J88" s="127">
        <v>0</v>
      </c>
      <c r="K88" s="127">
        <v>0</v>
      </c>
      <c r="L88" s="128">
        <f>SUM(F88:J88)</f>
        <v>0</v>
      </c>
    </row>
    <row r="89" spans="1:13" s="90" customFormat="1" ht="15" customHeight="1" x14ac:dyDescent="0.25">
      <c r="A89" s="701"/>
      <c r="B89" s="710"/>
      <c r="C89" s="790"/>
      <c r="D89" s="707"/>
      <c r="E89" s="123" t="s">
        <v>138</v>
      </c>
      <c r="F89" s="129">
        <v>15000000</v>
      </c>
      <c r="G89" s="129">
        <v>1950000</v>
      </c>
      <c r="H89" s="129">
        <v>0</v>
      </c>
      <c r="I89" s="129">
        <v>0</v>
      </c>
      <c r="J89" s="129">
        <v>0</v>
      </c>
      <c r="K89" s="129">
        <v>0</v>
      </c>
      <c r="L89" s="130">
        <f>SUM(F89:J89)</f>
        <v>16950000</v>
      </c>
    </row>
    <row r="90" spans="1:13" s="90" customFormat="1" ht="15" customHeight="1" thickBot="1" x14ac:dyDescent="0.3">
      <c r="A90" s="702"/>
      <c r="B90" s="711"/>
      <c r="C90" s="791"/>
      <c r="D90" s="708"/>
      <c r="E90" s="125" t="s">
        <v>105</v>
      </c>
      <c r="F90" s="131">
        <f>SUM(F88:F89)</f>
        <v>15000000</v>
      </c>
      <c r="G90" s="131">
        <f t="shared" ref="G90:L90" si="107">SUM(G88:G89)</f>
        <v>1950000</v>
      </c>
      <c r="H90" s="131">
        <f t="shared" si="107"/>
        <v>0</v>
      </c>
      <c r="I90" s="131">
        <f t="shared" si="107"/>
        <v>0</v>
      </c>
      <c r="J90" s="131">
        <f t="shared" si="107"/>
        <v>0</v>
      </c>
      <c r="K90" s="131">
        <f t="shared" si="107"/>
        <v>0</v>
      </c>
      <c r="L90" s="132">
        <f t="shared" si="107"/>
        <v>16950000</v>
      </c>
    </row>
    <row r="91" spans="1:13" s="90" customFormat="1" ht="17.100000000000001" customHeight="1" x14ac:dyDescent="0.25">
      <c r="A91" s="700" t="s">
        <v>332</v>
      </c>
      <c r="B91" s="709" t="s">
        <v>325</v>
      </c>
      <c r="C91" s="789">
        <v>2825000</v>
      </c>
      <c r="D91" s="706">
        <v>2825000</v>
      </c>
      <c r="E91" s="124" t="s">
        <v>137</v>
      </c>
      <c r="F91" s="127">
        <v>0</v>
      </c>
      <c r="G91" s="127"/>
      <c r="H91" s="127">
        <v>0</v>
      </c>
      <c r="I91" s="127">
        <v>0</v>
      </c>
      <c r="J91" s="127">
        <v>0</v>
      </c>
      <c r="K91" s="127">
        <v>0</v>
      </c>
      <c r="L91" s="128">
        <f>SUM(F91:J91)</f>
        <v>0</v>
      </c>
    </row>
    <row r="92" spans="1:13" s="90" customFormat="1" ht="17.100000000000001" customHeight="1" x14ac:dyDescent="0.25">
      <c r="A92" s="701"/>
      <c r="B92" s="710"/>
      <c r="C92" s="790"/>
      <c r="D92" s="707"/>
      <c r="E92" s="123" t="s">
        <v>138</v>
      </c>
      <c r="F92" s="129">
        <v>2500000</v>
      </c>
      <c r="G92" s="129">
        <v>325000</v>
      </c>
      <c r="H92" s="129">
        <v>0</v>
      </c>
      <c r="I92" s="129">
        <v>0</v>
      </c>
      <c r="J92" s="129">
        <v>0</v>
      </c>
      <c r="K92" s="129">
        <v>0</v>
      </c>
      <c r="L92" s="130">
        <f>SUM(F92:J92)</f>
        <v>2825000</v>
      </c>
    </row>
    <row r="93" spans="1:13" s="90" customFormat="1" ht="17.100000000000001" customHeight="1" thickBot="1" x14ac:dyDescent="0.3">
      <c r="A93" s="702"/>
      <c r="B93" s="711"/>
      <c r="C93" s="791"/>
      <c r="D93" s="708"/>
      <c r="E93" s="125" t="s">
        <v>105</v>
      </c>
      <c r="F93" s="131">
        <f>SUM(F91:F92)</f>
        <v>2500000</v>
      </c>
      <c r="G93" s="131">
        <f t="shared" ref="G93:L93" si="108">SUM(G91:G92)</f>
        <v>325000</v>
      </c>
      <c r="H93" s="131">
        <f t="shared" si="108"/>
        <v>0</v>
      </c>
      <c r="I93" s="131">
        <f t="shared" si="108"/>
        <v>0</v>
      </c>
      <c r="J93" s="131">
        <f t="shared" si="108"/>
        <v>0</v>
      </c>
      <c r="K93" s="131">
        <f t="shared" si="108"/>
        <v>0</v>
      </c>
      <c r="L93" s="132">
        <f t="shared" si="108"/>
        <v>2825000</v>
      </c>
    </row>
    <row r="94" spans="1:13" s="90" customFormat="1" ht="15" customHeight="1" x14ac:dyDescent="0.25">
      <c r="A94" s="700" t="s">
        <v>333</v>
      </c>
      <c r="B94" s="709" t="s">
        <v>233</v>
      </c>
      <c r="C94" s="789">
        <v>24860000</v>
      </c>
      <c r="D94" s="706">
        <v>20340000</v>
      </c>
      <c r="E94" s="124" t="s">
        <v>137</v>
      </c>
      <c r="F94" s="127">
        <v>0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  <c r="L94" s="128">
        <f>SUM(F94:J94)</f>
        <v>0</v>
      </c>
    </row>
    <row r="95" spans="1:13" s="90" customFormat="1" ht="15" customHeight="1" x14ac:dyDescent="0.25">
      <c r="A95" s="701"/>
      <c r="B95" s="710"/>
      <c r="C95" s="790"/>
      <c r="D95" s="707"/>
      <c r="E95" s="123" t="s">
        <v>138</v>
      </c>
      <c r="F95" s="129">
        <v>22000000</v>
      </c>
      <c r="G95" s="129">
        <v>2860000</v>
      </c>
      <c r="H95" s="129">
        <v>0</v>
      </c>
      <c r="I95" s="129">
        <v>0</v>
      </c>
      <c r="J95" s="129">
        <v>0</v>
      </c>
      <c r="K95" s="129">
        <v>0</v>
      </c>
      <c r="L95" s="130">
        <f>SUM(F95:J95)</f>
        <v>24860000</v>
      </c>
    </row>
    <row r="96" spans="1:13" s="90" customFormat="1" ht="15" customHeight="1" thickBot="1" x14ac:dyDescent="0.3">
      <c r="A96" s="702"/>
      <c r="B96" s="711"/>
      <c r="C96" s="791"/>
      <c r="D96" s="708"/>
      <c r="E96" s="125" t="s">
        <v>105</v>
      </c>
      <c r="F96" s="131">
        <f>SUM(F94:F95)</f>
        <v>22000000</v>
      </c>
      <c r="G96" s="131">
        <f t="shared" ref="G96:L96" si="109">SUM(G94:G95)</f>
        <v>2860000</v>
      </c>
      <c r="H96" s="131">
        <f t="shared" si="109"/>
        <v>0</v>
      </c>
      <c r="I96" s="131">
        <f t="shared" si="109"/>
        <v>0</v>
      </c>
      <c r="J96" s="131">
        <f t="shared" si="109"/>
        <v>0</v>
      </c>
      <c r="K96" s="131">
        <f t="shared" si="109"/>
        <v>0</v>
      </c>
      <c r="L96" s="132">
        <f t="shared" si="109"/>
        <v>24860000</v>
      </c>
    </row>
    <row r="97" spans="1:12" s="90" customFormat="1" ht="15" customHeight="1" x14ac:dyDescent="0.25">
      <c r="A97" s="700" t="s">
        <v>334</v>
      </c>
      <c r="B97" s="760" t="s">
        <v>328</v>
      </c>
      <c r="C97" s="706">
        <v>8000000</v>
      </c>
      <c r="D97" s="706">
        <v>0</v>
      </c>
      <c r="E97" s="124" t="s">
        <v>137</v>
      </c>
      <c r="F97" s="127">
        <v>0</v>
      </c>
      <c r="G97" s="127">
        <v>0</v>
      </c>
      <c r="H97" s="127">
        <v>0</v>
      </c>
      <c r="I97" s="127">
        <v>0</v>
      </c>
      <c r="J97" s="127">
        <v>8000000</v>
      </c>
      <c r="K97" s="127">
        <v>0</v>
      </c>
      <c r="L97" s="128">
        <f>SUM(F97:J97)</f>
        <v>8000000</v>
      </c>
    </row>
    <row r="98" spans="1:12" s="90" customFormat="1" ht="15" customHeight="1" x14ac:dyDescent="0.25">
      <c r="A98" s="701"/>
      <c r="B98" s="761"/>
      <c r="C98" s="707"/>
      <c r="D98" s="707"/>
      <c r="E98" s="123" t="s">
        <v>138</v>
      </c>
      <c r="F98" s="129">
        <v>0</v>
      </c>
      <c r="G98" s="129">
        <v>0</v>
      </c>
      <c r="H98" s="129">
        <v>0</v>
      </c>
      <c r="I98" s="129">
        <v>0</v>
      </c>
      <c r="J98" s="129">
        <v>0</v>
      </c>
      <c r="K98" s="129">
        <v>0</v>
      </c>
      <c r="L98" s="130">
        <f>SUM(F98:J98)</f>
        <v>0</v>
      </c>
    </row>
    <row r="99" spans="1:12" s="90" customFormat="1" ht="15" customHeight="1" thickBot="1" x14ac:dyDescent="0.3">
      <c r="A99" s="702"/>
      <c r="B99" s="762"/>
      <c r="C99" s="708"/>
      <c r="D99" s="708"/>
      <c r="E99" s="125" t="s">
        <v>105</v>
      </c>
      <c r="F99" s="131">
        <f>SUM(F97:F98)</f>
        <v>0</v>
      </c>
      <c r="G99" s="131">
        <f t="shared" ref="G99:L99" si="110">SUM(G97:G98)</f>
        <v>0</v>
      </c>
      <c r="H99" s="131">
        <f t="shared" si="110"/>
        <v>0</v>
      </c>
      <c r="I99" s="131">
        <f t="shared" si="110"/>
        <v>0</v>
      </c>
      <c r="J99" s="131">
        <f t="shared" si="110"/>
        <v>8000000</v>
      </c>
      <c r="K99" s="131">
        <f t="shared" si="110"/>
        <v>0</v>
      </c>
      <c r="L99" s="132">
        <f t="shared" si="110"/>
        <v>8000000</v>
      </c>
    </row>
    <row r="100" spans="1:12" s="90" customFormat="1" ht="15" customHeight="1" x14ac:dyDescent="0.25">
      <c r="A100" s="700" t="s">
        <v>335</v>
      </c>
      <c r="B100" s="760" t="s">
        <v>340</v>
      </c>
      <c r="C100" s="706">
        <v>6405000</v>
      </c>
      <c r="D100" s="706">
        <v>0</v>
      </c>
      <c r="E100" s="124" t="s">
        <v>137</v>
      </c>
      <c r="F100" s="127">
        <v>0</v>
      </c>
      <c r="G100" s="127">
        <v>0</v>
      </c>
      <c r="H100" s="127">
        <v>0</v>
      </c>
      <c r="I100" s="127">
        <v>0</v>
      </c>
      <c r="J100" s="127">
        <v>6405000</v>
      </c>
      <c r="K100" s="127">
        <v>0</v>
      </c>
      <c r="L100" s="128">
        <f>SUM(F100:J100)</f>
        <v>6405000</v>
      </c>
    </row>
    <row r="101" spans="1:12" s="90" customFormat="1" ht="15" customHeight="1" x14ac:dyDescent="0.25">
      <c r="A101" s="701"/>
      <c r="B101" s="761"/>
      <c r="C101" s="707"/>
      <c r="D101" s="707"/>
      <c r="E101" s="123" t="s">
        <v>138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30">
        <f>SUM(F101:J101)</f>
        <v>0</v>
      </c>
    </row>
    <row r="102" spans="1:12" s="90" customFormat="1" ht="15" customHeight="1" thickBot="1" x14ac:dyDescent="0.3">
      <c r="A102" s="702"/>
      <c r="B102" s="762"/>
      <c r="C102" s="708"/>
      <c r="D102" s="708"/>
      <c r="E102" s="125" t="s">
        <v>105</v>
      </c>
      <c r="F102" s="131">
        <f>SUM(F100:F101)</f>
        <v>0</v>
      </c>
      <c r="G102" s="131">
        <f t="shared" ref="G102:L102" si="111">SUM(G100:G101)</f>
        <v>0</v>
      </c>
      <c r="H102" s="131">
        <f t="shared" si="111"/>
        <v>0</v>
      </c>
      <c r="I102" s="131">
        <f t="shared" si="111"/>
        <v>0</v>
      </c>
      <c r="J102" s="131">
        <f t="shared" si="111"/>
        <v>6405000</v>
      </c>
      <c r="K102" s="131">
        <f t="shared" si="111"/>
        <v>0</v>
      </c>
      <c r="L102" s="132">
        <f t="shared" si="111"/>
        <v>6405000</v>
      </c>
    </row>
    <row r="103" spans="1:12" s="90" customFormat="1" ht="15" customHeight="1" x14ac:dyDescent="0.25">
      <c r="A103" s="700" t="s">
        <v>336</v>
      </c>
      <c r="B103" s="760" t="s">
        <v>342</v>
      </c>
      <c r="C103" s="706">
        <v>20000000</v>
      </c>
      <c r="D103" s="706">
        <v>0</v>
      </c>
      <c r="E103" s="124" t="s">
        <v>137</v>
      </c>
      <c r="F103" s="127">
        <v>0</v>
      </c>
      <c r="G103" s="127">
        <v>0</v>
      </c>
      <c r="H103" s="127">
        <v>0</v>
      </c>
      <c r="I103" s="127">
        <v>0</v>
      </c>
      <c r="J103" s="127">
        <v>20000000</v>
      </c>
      <c r="K103" s="127">
        <v>0</v>
      </c>
      <c r="L103" s="128">
        <f>SUM(F103:J103)</f>
        <v>20000000</v>
      </c>
    </row>
    <row r="104" spans="1:12" s="90" customFormat="1" ht="15" customHeight="1" x14ac:dyDescent="0.25">
      <c r="A104" s="701"/>
      <c r="B104" s="761"/>
      <c r="C104" s="707"/>
      <c r="D104" s="707"/>
      <c r="E104" s="123" t="s">
        <v>138</v>
      </c>
      <c r="F104" s="129">
        <v>0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30">
        <f>SUM(F104:J104)</f>
        <v>0</v>
      </c>
    </row>
    <row r="105" spans="1:12" s="90" customFormat="1" ht="15" customHeight="1" thickBot="1" x14ac:dyDescent="0.3">
      <c r="A105" s="702"/>
      <c r="B105" s="762"/>
      <c r="C105" s="708"/>
      <c r="D105" s="708"/>
      <c r="E105" s="125" t="s">
        <v>105</v>
      </c>
      <c r="F105" s="131">
        <f>SUM(F103:F104)</f>
        <v>0</v>
      </c>
      <c r="G105" s="131">
        <f t="shared" ref="G105:L105" si="112">SUM(G103:G104)</f>
        <v>0</v>
      </c>
      <c r="H105" s="131">
        <f t="shared" si="112"/>
        <v>0</v>
      </c>
      <c r="I105" s="131">
        <f t="shared" si="112"/>
        <v>0</v>
      </c>
      <c r="J105" s="131">
        <f t="shared" si="112"/>
        <v>20000000</v>
      </c>
      <c r="K105" s="131">
        <f t="shared" si="112"/>
        <v>0</v>
      </c>
      <c r="L105" s="132">
        <f t="shared" si="112"/>
        <v>20000000</v>
      </c>
    </row>
    <row r="106" spans="1:12" s="90" customFormat="1" ht="15" customHeight="1" x14ac:dyDescent="0.25">
      <c r="A106" s="700" t="s">
        <v>337</v>
      </c>
      <c r="B106" s="703" t="s">
        <v>329</v>
      </c>
      <c r="C106" s="706">
        <v>54389564</v>
      </c>
      <c r="D106" s="706">
        <v>0</v>
      </c>
      <c r="E106" s="124" t="s">
        <v>137</v>
      </c>
      <c r="F106" s="127">
        <v>0</v>
      </c>
      <c r="G106" s="127">
        <v>0</v>
      </c>
      <c r="H106" s="127">
        <v>0</v>
      </c>
      <c r="I106" s="127">
        <f>C106</f>
        <v>54389564</v>
      </c>
      <c r="J106" s="127">
        <v>0</v>
      </c>
      <c r="K106" s="127">
        <v>0</v>
      </c>
      <c r="L106" s="128">
        <f>SUM(F106:J106)</f>
        <v>54389564</v>
      </c>
    </row>
    <row r="107" spans="1:12" s="90" customFormat="1" ht="15" customHeight="1" x14ac:dyDescent="0.25">
      <c r="A107" s="701"/>
      <c r="B107" s="704"/>
      <c r="C107" s="707"/>
      <c r="D107" s="707"/>
      <c r="E107" s="123" t="s">
        <v>138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30">
        <f>SUM(F107:J107)</f>
        <v>0</v>
      </c>
    </row>
    <row r="108" spans="1:12" s="90" customFormat="1" ht="15" customHeight="1" thickBot="1" x14ac:dyDescent="0.3">
      <c r="A108" s="702"/>
      <c r="B108" s="705"/>
      <c r="C108" s="708"/>
      <c r="D108" s="708"/>
      <c r="E108" s="125" t="s">
        <v>105</v>
      </c>
      <c r="F108" s="131">
        <f>SUM(F106:F107)</f>
        <v>0</v>
      </c>
      <c r="G108" s="131">
        <f t="shared" ref="G108:L108" si="113">SUM(G106:G107)</f>
        <v>0</v>
      </c>
      <c r="H108" s="131">
        <f t="shared" si="113"/>
        <v>0</v>
      </c>
      <c r="I108" s="131">
        <f t="shared" si="113"/>
        <v>54389564</v>
      </c>
      <c r="J108" s="131">
        <f t="shared" si="113"/>
        <v>0</v>
      </c>
      <c r="K108" s="131">
        <f t="shared" si="113"/>
        <v>0</v>
      </c>
      <c r="L108" s="132">
        <f t="shared" si="113"/>
        <v>54389564</v>
      </c>
    </row>
    <row r="109" spans="1:12" s="90" customFormat="1" ht="15" customHeight="1" x14ac:dyDescent="0.25">
      <c r="A109" s="700" t="s">
        <v>338</v>
      </c>
      <c r="B109" s="712" t="s">
        <v>235</v>
      </c>
      <c r="C109" s="706">
        <v>9000000</v>
      </c>
      <c r="D109" s="706">
        <v>0</v>
      </c>
      <c r="E109" s="124" t="s">
        <v>137</v>
      </c>
      <c r="F109" s="127">
        <v>0</v>
      </c>
      <c r="G109" s="127">
        <v>0</v>
      </c>
      <c r="H109" s="127">
        <v>0</v>
      </c>
      <c r="I109" s="127">
        <f>C109</f>
        <v>9000000</v>
      </c>
      <c r="J109" s="127">
        <v>0</v>
      </c>
      <c r="K109" s="127">
        <v>0</v>
      </c>
      <c r="L109" s="128">
        <f>SUM(F109:J109)</f>
        <v>9000000</v>
      </c>
    </row>
    <row r="110" spans="1:12" s="90" customFormat="1" ht="15" customHeight="1" x14ac:dyDescent="0.25">
      <c r="A110" s="701"/>
      <c r="B110" s="713"/>
      <c r="C110" s="707"/>
      <c r="D110" s="707"/>
      <c r="E110" s="123" t="s">
        <v>138</v>
      </c>
      <c r="F110" s="129">
        <v>0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30">
        <f>SUM(F110:J110)</f>
        <v>0</v>
      </c>
    </row>
    <row r="111" spans="1:12" s="90" customFormat="1" ht="15" customHeight="1" thickBot="1" x14ac:dyDescent="0.3">
      <c r="A111" s="702"/>
      <c r="B111" s="714"/>
      <c r="C111" s="708"/>
      <c r="D111" s="708"/>
      <c r="E111" s="125" t="s">
        <v>105</v>
      </c>
      <c r="F111" s="131">
        <f>SUM(F109:F110)</f>
        <v>0</v>
      </c>
      <c r="G111" s="131">
        <f t="shared" ref="G111:L111" si="114">SUM(G109:G110)</f>
        <v>0</v>
      </c>
      <c r="H111" s="131">
        <f t="shared" si="114"/>
        <v>0</v>
      </c>
      <c r="I111" s="131">
        <f t="shared" si="114"/>
        <v>9000000</v>
      </c>
      <c r="J111" s="131">
        <f t="shared" si="114"/>
        <v>0</v>
      </c>
      <c r="K111" s="131">
        <f t="shared" si="114"/>
        <v>0</v>
      </c>
      <c r="L111" s="132">
        <f t="shared" si="114"/>
        <v>9000000</v>
      </c>
    </row>
    <row r="112" spans="1:12" s="90" customFormat="1" ht="15" customHeight="1" x14ac:dyDescent="0.25">
      <c r="A112" s="700" t="s">
        <v>339</v>
      </c>
      <c r="B112" s="709" t="s">
        <v>327</v>
      </c>
      <c r="C112" s="706">
        <v>2000000</v>
      </c>
      <c r="D112" s="706">
        <v>0</v>
      </c>
      <c r="E112" s="124" t="s">
        <v>137</v>
      </c>
      <c r="F112" s="127">
        <v>0</v>
      </c>
      <c r="G112" s="127">
        <v>0</v>
      </c>
      <c r="H112" s="127">
        <v>0</v>
      </c>
      <c r="I112" s="127">
        <v>2000000</v>
      </c>
      <c r="J112" s="127">
        <v>0</v>
      </c>
      <c r="K112" s="127">
        <v>0</v>
      </c>
      <c r="L112" s="128">
        <f>SUM(F112:J112)</f>
        <v>2000000</v>
      </c>
    </row>
    <row r="113" spans="1:12" s="90" customFormat="1" ht="15" customHeight="1" x14ac:dyDescent="0.25">
      <c r="A113" s="701"/>
      <c r="B113" s="710"/>
      <c r="C113" s="707"/>
      <c r="D113" s="707"/>
      <c r="E113" s="123" t="s">
        <v>138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30">
        <f>SUM(F113:J113)</f>
        <v>0</v>
      </c>
    </row>
    <row r="114" spans="1:12" s="90" customFormat="1" ht="15" customHeight="1" thickBot="1" x14ac:dyDescent="0.3">
      <c r="A114" s="702"/>
      <c r="B114" s="711"/>
      <c r="C114" s="708"/>
      <c r="D114" s="708"/>
      <c r="E114" s="125" t="s">
        <v>105</v>
      </c>
      <c r="F114" s="131">
        <f>SUM(F112:F113)</f>
        <v>0</v>
      </c>
      <c r="G114" s="131">
        <f t="shared" ref="G114:L114" si="115">SUM(G112:G113)</f>
        <v>0</v>
      </c>
      <c r="H114" s="131">
        <f t="shared" si="115"/>
        <v>0</v>
      </c>
      <c r="I114" s="131">
        <f t="shared" si="115"/>
        <v>2000000</v>
      </c>
      <c r="J114" s="131">
        <f t="shared" si="115"/>
        <v>0</v>
      </c>
      <c r="K114" s="131">
        <f t="shared" si="115"/>
        <v>0</v>
      </c>
      <c r="L114" s="132">
        <f t="shared" si="115"/>
        <v>2000000</v>
      </c>
    </row>
    <row r="115" spans="1:12" s="90" customFormat="1" ht="15" customHeight="1" x14ac:dyDescent="0.25">
      <c r="A115" s="700" t="s">
        <v>197</v>
      </c>
      <c r="B115" s="709" t="s">
        <v>200</v>
      </c>
      <c r="C115" s="706">
        <v>5000000</v>
      </c>
      <c r="D115" s="706">
        <v>0</v>
      </c>
      <c r="E115" s="124" t="s">
        <v>137</v>
      </c>
      <c r="F115" s="127">
        <v>0</v>
      </c>
      <c r="G115" s="127">
        <v>0</v>
      </c>
      <c r="H115" s="127">
        <v>0</v>
      </c>
      <c r="I115" s="127">
        <v>5000000</v>
      </c>
      <c r="J115" s="127">
        <v>0</v>
      </c>
      <c r="K115" s="127">
        <v>0</v>
      </c>
      <c r="L115" s="128">
        <f>SUM(F115:J115)</f>
        <v>5000000</v>
      </c>
    </row>
    <row r="116" spans="1:12" s="90" customFormat="1" ht="15" customHeight="1" x14ac:dyDescent="0.25">
      <c r="A116" s="701"/>
      <c r="B116" s="710"/>
      <c r="C116" s="707"/>
      <c r="D116" s="707"/>
      <c r="E116" s="123" t="s">
        <v>138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30">
        <f>SUM(F116:J116)</f>
        <v>0</v>
      </c>
    </row>
    <row r="117" spans="1:12" s="90" customFormat="1" ht="15" customHeight="1" thickBot="1" x14ac:dyDescent="0.3">
      <c r="A117" s="702"/>
      <c r="B117" s="711"/>
      <c r="C117" s="708"/>
      <c r="D117" s="708"/>
      <c r="E117" s="125" t="s">
        <v>105</v>
      </c>
      <c r="F117" s="131">
        <f>SUM(F115:F116)</f>
        <v>0</v>
      </c>
      <c r="G117" s="131">
        <f t="shared" ref="G117:L117" si="116">SUM(G115:G116)</f>
        <v>0</v>
      </c>
      <c r="H117" s="131">
        <f t="shared" si="116"/>
        <v>0</v>
      </c>
      <c r="I117" s="131">
        <f t="shared" si="116"/>
        <v>5000000</v>
      </c>
      <c r="J117" s="131">
        <f t="shared" si="116"/>
        <v>0</v>
      </c>
      <c r="K117" s="131">
        <f t="shared" si="116"/>
        <v>0</v>
      </c>
      <c r="L117" s="132">
        <f t="shared" si="116"/>
        <v>5000000</v>
      </c>
    </row>
    <row r="118" spans="1:12" s="90" customFormat="1" ht="15" customHeight="1" x14ac:dyDescent="0.25">
      <c r="A118" s="700" t="s">
        <v>198</v>
      </c>
      <c r="B118" s="709" t="s">
        <v>236</v>
      </c>
      <c r="C118" s="706">
        <v>30000000</v>
      </c>
      <c r="D118" s="706">
        <v>0</v>
      </c>
      <c r="E118" s="124" t="s">
        <v>137</v>
      </c>
      <c r="F118" s="127">
        <v>0</v>
      </c>
      <c r="G118" s="127">
        <v>0</v>
      </c>
      <c r="H118" s="127">
        <v>0</v>
      </c>
      <c r="I118" s="127">
        <v>30000000</v>
      </c>
      <c r="J118" s="127">
        <v>0</v>
      </c>
      <c r="K118" s="127">
        <v>0</v>
      </c>
      <c r="L118" s="128">
        <f>SUM(F118:J118)</f>
        <v>30000000</v>
      </c>
    </row>
    <row r="119" spans="1:12" s="90" customFormat="1" ht="15" customHeight="1" x14ac:dyDescent="0.25">
      <c r="A119" s="701"/>
      <c r="B119" s="710"/>
      <c r="C119" s="707"/>
      <c r="D119" s="707"/>
      <c r="E119" s="123" t="s">
        <v>138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30">
        <f>SUM(F119:J119)</f>
        <v>0</v>
      </c>
    </row>
    <row r="120" spans="1:12" s="90" customFormat="1" ht="15" customHeight="1" thickBot="1" x14ac:dyDescent="0.3">
      <c r="A120" s="702"/>
      <c r="B120" s="711"/>
      <c r="C120" s="708"/>
      <c r="D120" s="708"/>
      <c r="E120" s="125" t="s">
        <v>105</v>
      </c>
      <c r="F120" s="131">
        <f>SUM(F118:F119)</f>
        <v>0</v>
      </c>
      <c r="G120" s="131">
        <f t="shared" ref="G120:L120" si="117">SUM(G118:G119)</f>
        <v>0</v>
      </c>
      <c r="H120" s="131">
        <f t="shared" si="117"/>
        <v>0</v>
      </c>
      <c r="I120" s="131">
        <f t="shared" si="117"/>
        <v>30000000</v>
      </c>
      <c r="J120" s="131">
        <f t="shared" si="117"/>
        <v>0</v>
      </c>
      <c r="K120" s="131">
        <f t="shared" si="117"/>
        <v>0</v>
      </c>
      <c r="L120" s="132">
        <f t="shared" si="117"/>
        <v>30000000</v>
      </c>
    </row>
    <row r="121" spans="1:12" s="90" customFormat="1" ht="15" customHeight="1" x14ac:dyDescent="0.25">
      <c r="A121" s="700" t="s">
        <v>343</v>
      </c>
      <c r="B121" s="709" t="s">
        <v>199</v>
      </c>
      <c r="C121" s="706">
        <v>22981584</v>
      </c>
      <c r="D121" s="706">
        <v>5000000</v>
      </c>
      <c r="E121" s="124" t="s">
        <v>137</v>
      </c>
      <c r="F121" s="127">
        <v>0</v>
      </c>
      <c r="G121" s="127">
        <v>0</v>
      </c>
      <c r="H121" s="127">
        <v>0</v>
      </c>
      <c r="I121" s="127">
        <f>C121</f>
        <v>22981584</v>
      </c>
      <c r="J121" s="127">
        <v>0</v>
      </c>
      <c r="K121" s="127">
        <v>0</v>
      </c>
      <c r="L121" s="128">
        <f>SUM(F121:J121)</f>
        <v>22981584</v>
      </c>
    </row>
    <row r="122" spans="1:12" s="90" customFormat="1" ht="15" customHeight="1" x14ac:dyDescent="0.25">
      <c r="A122" s="701"/>
      <c r="B122" s="710"/>
      <c r="C122" s="707"/>
      <c r="D122" s="707"/>
      <c r="E122" s="123" t="s">
        <v>138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30">
        <f>SUM(F122:J122)</f>
        <v>0</v>
      </c>
    </row>
    <row r="123" spans="1:12" s="90" customFormat="1" ht="15" customHeight="1" thickBot="1" x14ac:dyDescent="0.3">
      <c r="A123" s="702"/>
      <c r="B123" s="711"/>
      <c r="C123" s="708"/>
      <c r="D123" s="708"/>
      <c r="E123" s="125" t="s">
        <v>105</v>
      </c>
      <c r="F123" s="131">
        <f>SUM(F121:F122)</f>
        <v>0</v>
      </c>
      <c r="G123" s="131">
        <f t="shared" ref="G123" si="118">SUM(G121:G122)</f>
        <v>0</v>
      </c>
      <c r="H123" s="131">
        <f t="shared" ref="H123" si="119">SUM(H121:H122)</f>
        <v>0</v>
      </c>
      <c r="I123" s="131">
        <f t="shared" ref="I123" si="120">SUM(I121:I122)</f>
        <v>22981584</v>
      </c>
      <c r="J123" s="131">
        <f t="shared" ref="J123" si="121">SUM(J121:J122)</f>
        <v>0</v>
      </c>
      <c r="K123" s="131">
        <f t="shared" ref="K123" si="122">SUM(K121:K122)</f>
        <v>0</v>
      </c>
      <c r="L123" s="132">
        <f t="shared" ref="L123" si="123">SUM(L121:L122)</f>
        <v>22981584</v>
      </c>
    </row>
    <row r="124" spans="1:12" s="90" customFormat="1" ht="15" customHeight="1" x14ac:dyDescent="0.25">
      <c r="A124" s="718" t="s">
        <v>250</v>
      </c>
      <c r="B124" s="719"/>
      <c r="C124" s="715">
        <f>SUM(C10:C123)</f>
        <v>473236060</v>
      </c>
      <c r="D124" s="715">
        <f>SUM(D10:D123)</f>
        <v>290453372</v>
      </c>
      <c r="E124" s="394" t="s">
        <v>137</v>
      </c>
      <c r="F124" s="395">
        <f>F10+F13+F16+F19+F22+F25+F28+F31+F34+F37+F40+F43+F46+F49+F52+F55+F58+F61+F64+F67+F70+F73+F76+F79+F82+F85+F88+F91+F94+F97+F100+F106+F109+F112+F115+F118+F121+F103</f>
        <v>6835162</v>
      </c>
      <c r="G124" s="395">
        <f t="shared" ref="G124:L124" si="124">G10+G13+G16+G19+G22+G25+G28+G31+G34+G37+G40+G43+G46+G49+G52+G55+G58+G61+G64+G67+G70+G73+G76+G79+G82+G85+G88+G91+G94+G97+G100+G106+G109+G112+G115+G118+G121+G103</f>
        <v>2073885</v>
      </c>
      <c r="H124" s="395">
        <f t="shared" si="124"/>
        <v>112610088</v>
      </c>
      <c r="I124" s="395">
        <f t="shared" si="124"/>
        <v>174831277</v>
      </c>
      <c r="J124" s="395">
        <f t="shared" si="124"/>
        <v>65952222</v>
      </c>
      <c r="K124" s="395">
        <f t="shared" si="124"/>
        <v>12444000</v>
      </c>
      <c r="L124" s="412">
        <f t="shared" si="124"/>
        <v>374746634</v>
      </c>
    </row>
    <row r="125" spans="1:12" s="90" customFormat="1" ht="15" customHeight="1" x14ac:dyDescent="0.25">
      <c r="A125" s="720"/>
      <c r="B125" s="721"/>
      <c r="C125" s="716"/>
      <c r="D125" s="716"/>
      <c r="E125" s="396" t="s">
        <v>138</v>
      </c>
      <c r="F125" s="397">
        <f>F11+F14+F17+F20+F23+F26+F29+F32+F35+F38+F41+F44+F47+F50+F53+F56+F59+F62+F65+F68+F71+F74+F77+F80+F83+F86+F89+F92+F95+F98+F101+F107+F110+F113+F116+F119+F122+F104</f>
        <v>83223319</v>
      </c>
      <c r="G125" s="397">
        <f t="shared" ref="G125:L125" si="125">G11+G14+G17+G20+G23+G26+G29+G32+G35+G38+G41+G44+G47+G50+G53+G56+G59+G62+G65+G68+G71+G74+G77+G80+G83+G86+G89+G92+G95+G98+G101+G107+G110+G113+G116+G119+G122+G104</f>
        <v>11131107</v>
      </c>
      <c r="H125" s="397">
        <f t="shared" si="125"/>
        <v>3500000</v>
      </c>
      <c r="I125" s="397">
        <f t="shared" si="125"/>
        <v>0</v>
      </c>
      <c r="J125" s="397">
        <f t="shared" si="125"/>
        <v>635000</v>
      </c>
      <c r="K125" s="397">
        <f t="shared" si="125"/>
        <v>0</v>
      </c>
      <c r="L125" s="413">
        <f t="shared" si="125"/>
        <v>98489426</v>
      </c>
    </row>
    <row r="126" spans="1:12" s="90" customFormat="1" ht="15" customHeight="1" thickBot="1" x14ac:dyDescent="0.3">
      <c r="A126" s="722"/>
      <c r="B126" s="723"/>
      <c r="C126" s="717"/>
      <c r="D126" s="717"/>
      <c r="E126" s="125" t="s">
        <v>105</v>
      </c>
      <c r="F126" s="131">
        <f>SUM(F124:F125)</f>
        <v>90058481</v>
      </c>
      <c r="G126" s="131">
        <f t="shared" ref="G126:K126" si="126">SUM(G124:G125)</f>
        <v>13204992</v>
      </c>
      <c r="H126" s="131">
        <f t="shared" si="126"/>
        <v>116110088</v>
      </c>
      <c r="I126" s="131">
        <f t="shared" si="126"/>
        <v>174831277</v>
      </c>
      <c r="J126" s="131">
        <f t="shared" si="126"/>
        <v>66587222</v>
      </c>
      <c r="K126" s="131">
        <f t="shared" si="126"/>
        <v>12444000</v>
      </c>
      <c r="L126" s="132">
        <f t="shared" ref="L126" si="127">SUM(L124:L125)</f>
        <v>473236060</v>
      </c>
    </row>
    <row r="127" spans="1:12" s="4" customFormat="1" ht="15" customHeight="1" thickBot="1" x14ac:dyDescent="0.3">
      <c r="A127" s="724" t="s">
        <v>252</v>
      </c>
      <c r="B127" s="725"/>
      <c r="C127" s="725"/>
      <c r="D127" s="725"/>
      <c r="E127" s="725"/>
      <c r="F127" s="725"/>
      <c r="G127" s="725"/>
      <c r="H127" s="725"/>
      <c r="I127" s="725"/>
      <c r="J127" s="725"/>
      <c r="K127" s="725"/>
      <c r="L127" s="726"/>
    </row>
    <row r="128" spans="1:12" s="4" customFormat="1" ht="15" customHeight="1" x14ac:dyDescent="0.25">
      <c r="A128" s="745" t="s">
        <v>1</v>
      </c>
      <c r="B128" s="748" t="s">
        <v>305</v>
      </c>
      <c r="C128" s="751">
        <v>5619431</v>
      </c>
      <c r="D128" s="751">
        <v>5619431</v>
      </c>
      <c r="E128" s="124" t="s">
        <v>137</v>
      </c>
      <c r="F128" s="127">
        <v>0</v>
      </c>
      <c r="G128" s="127">
        <v>0</v>
      </c>
      <c r="H128" s="127">
        <v>0</v>
      </c>
      <c r="I128" s="127">
        <v>0</v>
      </c>
      <c r="J128" s="127">
        <v>0</v>
      </c>
      <c r="K128" s="127">
        <v>0</v>
      </c>
      <c r="L128" s="128">
        <f>SUM(F128:J128)</f>
        <v>0</v>
      </c>
    </row>
    <row r="129" spans="1:12" s="4" customFormat="1" ht="15" customHeight="1" x14ac:dyDescent="0.25">
      <c r="A129" s="746"/>
      <c r="B129" s="749"/>
      <c r="C129" s="752"/>
      <c r="D129" s="752"/>
      <c r="E129" s="123" t="s">
        <v>138</v>
      </c>
      <c r="F129" s="414">
        <v>0</v>
      </c>
      <c r="G129" s="414">
        <v>0</v>
      </c>
      <c r="H129" s="414">
        <v>0</v>
      </c>
      <c r="I129" s="129">
        <v>5619431</v>
      </c>
      <c r="J129" s="129">
        <v>0</v>
      </c>
      <c r="K129" s="129">
        <v>0</v>
      </c>
      <c r="L129" s="134">
        <f>SUM(F129:J129)</f>
        <v>5619431</v>
      </c>
    </row>
    <row r="130" spans="1:12" s="4" customFormat="1" ht="15" customHeight="1" thickBot="1" x14ac:dyDescent="0.3">
      <c r="A130" s="747"/>
      <c r="B130" s="750"/>
      <c r="C130" s="753"/>
      <c r="D130" s="753"/>
      <c r="E130" s="141" t="s">
        <v>105</v>
      </c>
      <c r="F130" s="142">
        <f>SUM(F128:F129)</f>
        <v>0</v>
      </c>
      <c r="G130" s="142">
        <f t="shared" ref="G130" si="128">SUM(G128:G129)</f>
        <v>0</v>
      </c>
      <c r="H130" s="142">
        <f t="shared" ref="H130" si="129">SUM(H128:H129)</f>
        <v>0</v>
      </c>
      <c r="I130" s="142">
        <f t="shared" ref="I130" si="130">SUM(I128:I129)</f>
        <v>5619431</v>
      </c>
      <c r="J130" s="142">
        <f t="shared" ref="J130:K130" si="131">SUM(J128:J129)</f>
        <v>0</v>
      </c>
      <c r="K130" s="142">
        <f t="shared" si="131"/>
        <v>0</v>
      </c>
      <c r="L130" s="143">
        <f t="shared" ref="L130" si="132">SUM(L128:L129)</f>
        <v>5619431</v>
      </c>
    </row>
    <row r="131" spans="1:12" s="4" customFormat="1" ht="15" customHeight="1" x14ac:dyDescent="0.25">
      <c r="A131" s="745" t="s">
        <v>2</v>
      </c>
      <c r="B131" s="754" t="s">
        <v>341</v>
      </c>
      <c r="C131" s="751">
        <f>L133</f>
        <v>23342553</v>
      </c>
      <c r="D131" s="751">
        <v>0</v>
      </c>
      <c r="E131" s="124" t="s">
        <v>137</v>
      </c>
      <c r="F131" s="127">
        <v>0</v>
      </c>
      <c r="G131" s="127">
        <v>0</v>
      </c>
      <c r="H131" s="127">
        <v>0</v>
      </c>
      <c r="I131" s="127">
        <v>0</v>
      </c>
      <c r="J131" s="127">
        <v>0</v>
      </c>
      <c r="K131" s="127">
        <v>0</v>
      </c>
      <c r="L131" s="128">
        <f>SUM(F131:J131)</f>
        <v>0</v>
      </c>
    </row>
    <row r="132" spans="1:12" s="4" customFormat="1" ht="15" customHeight="1" x14ac:dyDescent="0.25">
      <c r="A132" s="746"/>
      <c r="B132" s="755"/>
      <c r="C132" s="752"/>
      <c r="D132" s="752"/>
      <c r="E132" s="123" t="s">
        <v>138</v>
      </c>
      <c r="F132" s="414">
        <v>8000000</v>
      </c>
      <c r="G132" s="414">
        <v>1040000</v>
      </c>
      <c r="H132" s="414">
        <v>11802553</v>
      </c>
      <c r="I132" s="129">
        <v>0</v>
      </c>
      <c r="J132" s="129">
        <v>2500000</v>
      </c>
      <c r="K132" s="129">
        <v>0</v>
      </c>
      <c r="L132" s="134">
        <f>SUM(F132:J132)</f>
        <v>23342553</v>
      </c>
    </row>
    <row r="133" spans="1:12" s="4" customFormat="1" ht="15" customHeight="1" thickBot="1" x14ac:dyDescent="0.3">
      <c r="A133" s="747"/>
      <c r="B133" s="756"/>
      <c r="C133" s="753"/>
      <c r="D133" s="753"/>
      <c r="E133" s="141" t="s">
        <v>105</v>
      </c>
      <c r="F133" s="142">
        <f>SUM(F131:F132)</f>
        <v>8000000</v>
      </c>
      <c r="G133" s="142">
        <f t="shared" ref="G133:L133" si="133">SUM(G131:G132)</f>
        <v>1040000</v>
      </c>
      <c r="H133" s="142">
        <f t="shared" si="133"/>
        <v>11802553</v>
      </c>
      <c r="I133" s="142">
        <f t="shared" si="133"/>
        <v>0</v>
      </c>
      <c r="J133" s="142">
        <f t="shared" si="133"/>
        <v>2500000</v>
      </c>
      <c r="K133" s="142">
        <f t="shared" si="133"/>
        <v>0</v>
      </c>
      <c r="L133" s="143">
        <f t="shared" si="133"/>
        <v>23342553</v>
      </c>
    </row>
    <row r="134" spans="1:12" s="90" customFormat="1" ht="15" customHeight="1" x14ac:dyDescent="0.25">
      <c r="A134" s="736" t="s">
        <v>251</v>
      </c>
      <c r="B134" s="737"/>
      <c r="C134" s="742">
        <f>C128+C131</f>
        <v>28961984</v>
      </c>
      <c r="D134" s="742">
        <f>D128+D131</f>
        <v>5619431</v>
      </c>
      <c r="E134" s="398" t="s">
        <v>137</v>
      </c>
      <c r="F134" s="399">
        <f>F128+F131</f>
        <v>0</v>
      </c>
      <c r="G134" s="399">
        <f t="shared" ref="G134:L134" si="134">G128</f>
        <v>0</v>
      </c>
      <c r="H134" s="399">
        <f t="shared" si="134"/>
        <v>0</v>
      </c>
      <c r="I134" s="399">
        <f t="shared" si="134"/>
        <v>0</v>
      </c>
      <c r="J134" s="399">
        <f t="shared" si="134"/>
        <v>0</v>
      </c>
      <c r="K134" s="399">
        <f t="shared" si="134"/>
        <v>0</v>
      </c>
      <c r="L134" s="400">
        <f t="shared" si="134"/>
        <v>0</v>
      </c>
    </row>
    <row r="135" spans="1:12" s="90" customFormat="1" ht="15" customHeight="1" x14ac:dyDescent="0.25">
      <c r="A135" s="738"/>
      <c r="B135" s="739"/>
      <c r="C135" s="743"/>
      <c r="D135" s="743"/>
      <c r="E135" s="401" t="s">
        <v>138</v>
      </c>
      <c r="F135" s="402">
        <f>F129+F133</f>
        <v>8000000</v>
      </c>
      <c r="G135" s="402">
        <f t="shared" ref="G135:L135" si="135">G129+G133</f>
        <v>1040000</v>
      </c>
      <c r="H135" s="402">
        <f t="shared" si="135"/>
        <v>11802553</v>
      </c>
      <c r="I135" s="402">
        <f t="shared" si="135"/>
        <v>5619431</v>
      </c>
      <c r="J135" s="402">
        <f t="shared" si="135"/>
        <v>2500000</v>
      </c>
      <c r="K135" s="402">
        <f t="shared" si="135"/>
        <v>0</v>
      </c>
      <c r="L135" s="403">
        <f t="shared" si="135"/>
        <v>28961984</v>
      </c>
    </row>
    <row r="136" spans="1:12" s="90" customFormat="1" ht="15" customHeight="1" thickBot="1" x14ac:dyDescent="0.3">
      <c r="A136" s="740"/>
      <c r="B136" s="741"/>
      <c r="C136" s="744"/>
      <c r="D136" s="744"/>
      <c r="E136" s="141" t="s">
        <v>105</v>
      </c>
      <c r="F136" s="142">
        <f>SUM(F134:F135)</f>
        <v>8000000</v>
      </c>
      <c r="G136" s="142">
        <f t="shared" ref="G136:L136" si="136">SUM(G134:G135)</f>
        <v>1040000</v>
      </c>
      <c r="H136" s="142">
        <f t="shared" si="136"/>
        <v>11802553</v>
      </c>
      <c r="I136" s="142">
        <f t="shared" si="136"/>
        <v>5619431</v>
      </c>
      <c r="J136" s="142">
        <f t="shared" si="136"/>
        <v>2500000</v>
      </c>
      <c r="K136" s="142">
        <f t="shared" si="136"/>
        <v>0</v>
      </c>
      <c r="L136" s="143">
        <f t="shared" si="136"/>
        <v>28961984</v>
      </c>
    </row>
    <row r="137" spans="1:12" s="90" customFormat="1" ht="15" customHeight="1" x14ac:dyDescent="0.25">
      <c r="A137" s="727" t="s">
        <v>195</v>
      </c>
      <c r="B137" s="728"/>
      <c r="C137" s="733">
        <f>C124+C134</f>
        <v>502198044</v>
      </c>
      <c r="D137" s="733">
        <f>D124+D134</f>
        <v>296072803</v>
      </c>
      <c r="E137" s="404" t="s">
        <v>137</v>
      </c>
      <c r="F137" s="405">
        <f t="shared" ref="F137:L138" si="137">F124+F134</f>
        <v>6835162</v>
      </c>
      <c r="G137" s="405">
        <f t="shared" si="137"/>
        <v>2073885</v>
      </c>
      <c r="H137" s="405">
        <f t="shared" si="137"/>
        <v>112610088</v>
      </c>
      <c r="I137" s="405">
        <f t="shared" si="137"/>
        <v>174831277</v>
      </c>
      <c r="J137" s="405">
        <f t="shared" si="137"/>
        <v>65952222</v>
      </c>
      <c r="K137" s="405">
        <f t="shared" si="137"/>
        <v>12444000</v>
      </c>
      <c r="L137" s="406">
        <f t="shared" si="137"/>
        <v>374746634</v>
      </c>
    </row>
    <row r="138" spans="1:12" s="90" customFormat="1" ht="15" customHeight="1" x14ac:dyDescent="0.25">
      <c r="A138" s="729"/>
      <c r="B138" s="730"/>
      <c r="C138" s="734"/>
      <c r="D138" s="734"/>
      <c r="E138" s="407" t="s">
        <v>138</v>
      </c>
      <c r="F138" s="408">
        <f t="shared" si="137"/>
        <v>91223319</v>
      </c>
      <c r="G138" s="408">
        <f t="shared" si="137"/>
        <v>12171107</v>
      </c>
      <c r="H138" s="408">
        <f t="shared" si="137"/>
        <v>15302553</v>
      </c>
      <c r="I138" s="408">
        <f t="shared" si="137"/>
        <v>5619431</v>
      </c>
      <c r="J138" s="408">
        <f t="shared" si="137"/>
        <v>3135000</v>
      </c>
      <c r="K138" s="408">
        <f t="shared" si="137"/>
        <v>0</v>
      </c>
      <c r="L138" s="409">
        <f t="shared" si="137"/>
        <v>127451410</v>
      </c>
    </row>
    <row r="139" spans="1:12" s="90" customFormat="1" ht="15" customHeight="1" thickBot="1" x14ac:dyDescent="0.3">
      <c r="A139" s="731"/>
      <c r="B139" s="732"/>
      <c r="C139" s="735"/>
      <c r="D139" s="735"/>
      <c r="E139" s="383" t="s">
        <v>105</v>
      </c>
      <c r="F139" s="384">
        <f>SUM(F137:F138)</f>
        <v>98058481</v>
      </c>
      <c r="G139" s="384">
        <f t="shared" ref="G139" si="138">SUM(G137:G138)</f>
        <v>14244992</v>
      </c>
      <c r="H139" s="384">
        <f t="shared" ref="H139" si="139">SUM(H137:H138)</f>
        <v>127912641</v>
      </c>
      <c r="I139" s="384">
        <f t="shared" ref="I139" si="140">SUM(I137:I138)</f>
        <v>180450708</v>
      </c>
      <c r="J139" s="384">
        <f t="shared" ref="J139:K139" si="141">SUM(J137:J138)</f>
        <v>69087222</v>
      </c>
      <c r="K139" s="384">
        <f t="shared" si="141"/>
        <v>12444000</v>
      </c>
      <c r="L139" s="385">
        <f t="shared" ref="L139" si="142">SUM(L137:L138)</f>
        <v>502198044</v>
      </c>
    </row>
    <row r="140" spans="1:12" s="90" customFormat="1" ht="17.100000000000001" customHeight="1" x14ac:dyDescent="0.25">
      <c r="A140" s="149"/>
      <c r="B140" s="139"/>
      <c r="C140" s="140"/>
      <c r="D140" s="140"/>
      <c r="E140" s="144"/>
      <c r="F140" s="145"/>
      <c r="G140" s="145"/>
      <c r="H140" s="145"/>
      <c r="I140" s="145"/>
      <c r="J140" s="145"/>
      <c r="K140" s="145"/>
      <c r="L140" s="145"/>
    </row>
    <row r="141" spans="1:12" s="90" customFormat="1" ht="17.100000000000001" customHeight="1" x14ac:dyDescent="0.25">
      <c r="A141" s="150"/>
      <c r="B141" s="139"/>
      <c r="C141" s="140"/>
      <c r="D141" s="140"/>
      <c r="E141" s="144"/>
      <c r="F141" s="145"/>
      <c r="G141" s="145"/>
      <c r="H141" s="145"/>
      <c r="I141" s="145"/>
      <c r="J141" s="145"/>
      <c r="K141" s="145"/>
      <c r="L141" s="145"/>
    </row>
    <row r="142" spans="1:12" s="90" customFormat="1" ht="17.100000000000001" customHeight="1" x14ac:dyDescent="0.25">
      <c r="A142" s="150"/>
      <c r="B142" s="139"/>
      <c r="C142" s="140"/>
      <c r="D142" s="140"/>
      <c r="E142" s="144"/>
      <c r="F142" s="781"/>
      <c r="G142" s="781"/>
      <c r="H142" s="145"/>
      <c r="I142" s="145"/>
      <c r="J142" s="145"/>
      <c r="K142" s="145"/>
      <c r="L142" s="145"/>
    </row>
    <row r="143" spans="1:12" s="90" customFormat="1" ht="17.100000000000001" customHeight="1" x14ac:dyDescent="0.25">
      <c r="A143" s="150"/>
      <c r="B143" s="139"/>
      <c r="C143" s="140"/>
      <c r="D143" s="140"/>
      <c r="E143" s="144"/>
      <c r="F143" s="145"/>
      <c r="G143" s="145"/>
      <c r="H143" s="145"/>
      <c r="I143" s="145"/>
      <c r="J143" s="145"/>
      <c r="K143" s="145"/>
      <c r="L143" s="145"/>
    </row>
    <row r="144" spans="1:12" s="90" customFormat="1" ht="17.100000000000001" customHeight="1" x14ac:dyDescent="0.25">
      <c r="A144" s="150"/>
      <c r="B144" s="139"/>
      <c r="C144" s="140"/>
      <c r="D144" s="140"/>
      <c r="E144" s="144"/>
      <c r="F144" s="145"/>
      <c r="G144" s="145"/>
      <c r="H144" s="145"/>
      <c r="I144" s="145"/>
      <c r="J144" s="145"/>
      <c r="K144" s="145"/>
      <c r="L144" s="145"/>
    </row>
    <row r="145" spans="2:6" x14ac:dyDescent="0.25">
      <c r="C145" s="66"/>
    </row>
    <row r="146" spans="2:6" x14ac:dyDescent="0.25">
      <c r="C146" s="66"/>
      <c r="F146" s="66"/>
    </row>
    <row r="147" spans="2:6" x14ac:dyDescent="0.25">
      <c r="C147" s="66"/>
      <c r="D147" s="66"/>
      <c r="F147" s="66"/>
    </row>
    <row r="148" spans="2:6" x14ac:dyDescent="0.25">
      <c r="C148" s="66"/>
    </row>
    <row r="149" spans="2:6" x14ac:dyDescent="0.25">
      <c r="C149" s="66"/>
    </row>
    <row r="150" spans="2:6" x14ac:dyDescent="0.25">
      <c r="C150" s="66"/>
    </row>
    <row r="151" spans="2:6" x14ac:dyDescent="0.25">
      <c r="D151" s="66"/>
    </row>
    <row r="154" spans="2:6" x14ac:dyDescent="0.25">
      <c r="B154" s="151"/>
      <c r="C154" s="757"/>
      <c r="D154" s="757"/>
      <c r="E154" s="757"/>
      <c r="F154" s="757"/>
    </row>
  </sheetData>
  <mergeCells count="185">
    <mergeCell ref="M43:M44"/>
    <mergeCell ref="A88:A90"/>
    <mergeCell ref="B88:B90"/>
    <mergeCell ref="C88:C90"/>
    <mergeCell ref="D88:D90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M77:M86"/>
    <mergeCell ref="A70:A72"/>
    <mergeCell ref="A76:A78"/>
    <mergeCell ref="B76:B78"/>
    <mergeCell ref="A100:A102"/>
    <mergeCell ref="B100:B102"/>
    <mergeCell ref="C100:C102"/>
    <mergeCell ref="D100:D102"/>
    <mergeCell ref="A82:A84"/>
    <mergeCell ref="B82:B84"/>
    <mergeCell ref="D70:D72"/>
    <mergeCell ref="A73:A75"/>
    <mergeCell ref="B73:B75"/>
    <mergeCell ref="C73:C75"/>
    <mergeCell ref="D73:D75"/>
    <mergeCell ref="A79:A81"/>
    <mergeCell ref="B79:B81"/>
    <mergeCell ref="C79:C81"/>
    <mergeCell ref="D79:D81"/>
    <mergeCell ref="C76:C78"/>
    <mergeCell ref="D76:D78"/>
    <mergeCell ref="B70:B72"/>
    <mergeCell ref="C70:C72"/>
    <mergeCell ref="C85:C87"/>
    <mergeCell ref="A103:A105"/>
    <mergeCell ref="C82:C84"/>
    <mergeCell ref="B103:B105"/>
    <mergeCell ref="C103:C105"/>
    <mergeCell ref="D103:D105"/>
    <mergeCell ref="D82:D84"/>
    <mergeCell ref="A97:A99"/>
    <mergeCell ref="B97:B99"/>
    <mergeCell ref="C97:C99"/>
    <mergeCell ref="D97:D99"/>
    <mergeCell ref="A91:A93"/>
    <mergeCell ref="B91:B93"/>
    <mergeCell ref="C91:C93"/>
    <mergeCell ref="D91:D93"/>
    <mergeCell ref="A85:A87"/>
    <mergeCell ref="B85:B87"/>
    <mergeCell ref="A94:A96"/>
    <mergeCell ref="B94:B96"/>
    <mergeCell ref="C94:C96"/>
    <mergeCell ref="D94:D96"/>
    <mergeCell ref="D85:D87"/>
    <mergeCell ref="D61:D63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B19:B21"/>
    <mergeCell ref="C19:C21"/>
    <mergeCell ref="A40:A42"/>
    <mergeCell ref="B40:B42"/>
    <mergeCell ref="C40:C42"/>
    <mergeCell ref="D40:D42"/>
    <mergeCell ref="A43:A45"/>
    <mergeCell ref="B43:B45"/>
    <mergeCell ref="C43:C45"/>
    <mergeCell ref="D43:D45"/>
    <mergeCell ref="B34:B36"/>
    <mergeCell ref="C34:C36"/>
    <mergeCell ref="D34:D36"/>
    <mergeCell ref="A37:A39"/>
    <mergeCell ref="B37:B39"/>
    <mergeCell ref="C37:C39"/>
    <mergeCell ref="D37:D39"/>
    <mergeCell ref="A34:A36"/>
    <mergeCell ref="D10:D12"/>
    <mergeCell ref="A31:A33"/>
    <mergeCell ref="B28:B30"/>
    <mergeCell ref="B25:B27"/>
    <mergeCell ref="C25:C27"/>
    <mergeCell ref="D25:D27"/>
    <mergeCell ref="D28:D30"/>
    <mergeCell ref="B31:B33"/>
    <mergeCell ref="C31:C33"/>
    <mergeCell ref="D31:D33"/>
    <mergeCell ref="A10:A12"/>
    <mergeCell ref="A13:A15"/>
    <mergeCell ref="A19:A21"/>
    <mergeCell ref="A22:A24"/>
    <mergeCell ref="A25:A27"/>
    <mergeCell ref="A28:A30"/>
    <mergeCell ref="C28:C30"/>
    <mergeCell ref="A16:A18"/>
    <mergeCell ref="B16:B18"/>
    <mergeCell ref="C16:C18"/>
    <mergeCell ref="D16:D18"/>
    <mergeCell ref="C154:F154"/>
    <mergeCell ref="C6:L6"/>
    <mergeCell ref="A1:L1"/>
    <mergeCell ref="A3:L3"/>
    <mergeCell ref="A4:L4"/>
    <mergeCell ref="A2:L2"/>
    <mergeCell ref="D19:D21"/>
    <mergeCell ref="B22:B24"/>
    <mergeCell ref="C22:C24"/>
    <mergeCell ref="D22:D24"/>
    <mergeCell ref="A5:L5"/>
    <mergeCell ref="B13:B15"/>
    <mergeCell ref="C13:C15"/>
    <mergeCell ref="D13:D15"/>
    <mergeCell ref="E7:L7"/>
    <mergeCell ref="A9:L9"/>
    <mergeCell ref="D7:D8"/>
    <mergeCell ref="A7:A8"/>
    <mergeCell ref="B7:C7"/>
    <mergeCell ref="B10:B12"/>
    <mergeCell ref="C10:C12"/>
    <mergeCell ref="F142:G142"/>
    <mergeCell ref="B121:B123"/>
    <mergeCell ref="C121:C123"/>
    <mergeCell ref="D121:D123"/>
    <mergeCell ref="D124:D126"/>
    <mergeCell ref="A124:B126"/>
    <mergeCell ref="A127:L127"/>
    <mergeCell ref="A137:B139"/>
    <mergeCell ref="A121:A123"/>
    <mergeCell ref="C137:C139"/>
    <mergeCell ref="D137:D139"/>
    <mergeCell ref="A134:B136"/>
    <mergeCell ref="C134:C136"/>
    <mergeCell ref="D134:D136"/>
    <mergeCell ref="A128:A130"/>
    <mergeCell ref="B128:B130"/>
    <mergeCell ref="C128:C130"/>
    <mergeCell ref="D128:D130"/>
    <mergeCell ref="C124:C126"/>
    <mergeCell ref="A131:A133"/>
    <mergeCell ref="B131:B133"/>
    <mergeCell ref="C131:C133"/>
    <mergeCell ref="D131:D133"/>
    <mergeCell ref="A106:A108"/>
    <mergeCell ref="B106:B108"/>
    <mergeCell ref="C106:C108"/>
    <mergeCell ref="D106:D108"/>
    <mergeCell ref="A118:A120"/>
    <mergeCell ref="D118:D120"/>
    <mergeCell ref="A115:A117"/>
    <mergeCell ref="B115:B117"/>
    <mergeCell ref="C115:C117"/>
    <mergeCell ref="D115:D117"/>
    <mergeCell ref="A112:A114"/>
    <mergeCell ref="B118:B120"/>
    <mergeCell ref="C118:C120"/>
    <mergeCell ref="D112:D114"/>
    <mergeCell ref="B112:B114"/>
    <mergeCell ref="C112:C114"/>
    <mergeCell ref="B109:B111"/>
    <mergeCell ref="C109:C111"/>
    <mergeCell ref="D109:D111"/>
    <mergeCell ref="A109:A111"/>
  </mergeCells>
  <phoneticPr fontId="9" type="noConversion"/>
  <printOptions horizontalCentered="1"/>
  <pageMargins left="0" right="0" top="0.15748031496062992" bottom="0.15748031496062992" header="0.31496062992125984" footer="0.31496062992125984"/>
  <pageSetup paperSize="9" scale="85" orientation="landscape" r:id="rId1"/>
  <rowBreaks count="5" manualBreakCount="5">
    <brk id="42" max="11" man="1"/>
    <brk id="78" max="11" man="1"/>
    <brk id="117" max="11" man="1"/>
    <brk id="139" max="11" man="1"/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Q75"/>
  <sheetViews>
    <sheetView topLeftCell="A4" zoomScaleNormal="100" workbookViewId="0">
      <selection activeCell="S4" sqref="S4"/>
    </sheetView>
  </sheetViews>
  <sheetFormatPr defaultRowHeight="15.75" x14ac:dyDescent="0.25"/>
  <cols>
    <col min="1" max="1" width="5.5703125" style="15" customWidth="1"/>
    <col min="2" max="2" width="4.28515625" style="15" customWidth="1"/>
    <col min="3" max="3" width="3.7109375" style="3" customWidth="1"/>
    <col min="4" max="4" width="37.7109375" style="3" customWidth="1"/>
    <col min="5" max="6" width="14.28515625" style="5" customWidth="1"/>
    <col min="7" max="7" width="14.7109375" style="5" customWidth="1"/>
    <col min="8" max="8" width="7.7109375" style="5" customWidth="1"/>
    <col min="9" max="9" width="6.5703125" style="11" customWidth="1"/>
    <col min="10" max="10" width="4.28515625" style="11" customWidth="1"/>
    <col min="11" max="11" width="3.7109375" style="11" customWidth="1"/>
    <col min="12" max="12" width="37.7109375" style="3" customWidth="1"/>
    <col min="13" max="14" width="14.85546875" style="5" customWidth="1"/>
    <col min="15" max="15" width="14.42578125" style="5" customWidth="1"/>
    <col min="16" max="16" width="7.7109375" style="5" customWidth="1"/>
    <col min="17" max="17" width="9.140625" style="8" customWidth="1"/>
    <col min="18" max="16384" width="9.140625" style="3"/>
  </cols>
  <sheetData>
    <row r="1" spans="1:17" x14ac:dyDescent="0.25">
      <c r="L1" s="493" t="s">
        <v>256</v>
      </c>
      <c r="M1" s="493"/>
      <c r="N1" s="493"/>
      <c r="O1" s="493"/>
      <c r="P1" s="493"/>
    </row>
    <row r="2" spans="1:17" x14ac:dyDescent="0.25">
      <c r="L2" s="493"/>
      <c r="M2" s="493"/>
      <c r="N2" s="493"/>
      <c r="O2" s="493"/>
      <c r="P2" s="493"/>
    </row>
    <row r="3" spans="1:17" ht="15.95" customHeight="1" x14ac:dyDescent="0.25">
      <c r="A3" s="551" t="s">
        <v>238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8" t="s">
        <v>33</v>
      </c>
    </row>
    <row r="4" spans="1:17" ht="15.95" customHeight="1" x14ac:dyDescent="0.25">
      <c r="A4" s="551" t="s">
        <v>26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7" ht="15.95" customHeight="1" x14ac:dyDescent="0.25">
      <c r="A5" s="551" t="s">
        <v>44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</row>
    <row r="6" spans="1:17" ht="15.95" customHeight="1" x14ac:dyDescent="0.25">
      <c r="A6" s="551" t="s">
        <v>257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</row>
    <row r="7" spans="1:17" ht="15.95" customHeight="1" x14ac:dyDescent="0.25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</row>
    <row r="8" spans="1:17" ht="15.95" customHeight="1" thickBot="1" x14ac:dyDescent="0.35">
      <c r="D8" s="463"/>
      <c r="E8" s="463"/>
      <c r="F8" s="463"/>
      <c r="G8" s="463"/>
      <c r="H8" s="463"/>
      <c r="I8" s="463"/>
      <c r="J8" s="463"/>
      <c r="K8" s="463"/>
      <c r="L8" s="463"/>
      <c r="O8" s="3"/>
      <c r="P8" s="198" t="s">
        <v>201</v>
      </c>
    </row>
    <row r="9" spans="1:17" s="6" customFormat="1" ht="21.95" customHeight="1" x14ac:dyDescent="0.2">
      <c r="A9" s="505" t="s">
        <v>42</v>
      </c>
      <c r="B9" s="506"/>
      <c r="C9" s="506"/>
      <c r="D9" s="506"/>
      <c r="E9" s="506"/>
      <c r="F9" s="506"/>
      <c r="G9" s="506"/>
      <c r="H9" s="507"/>
      <c r="I9" s="505" t="s">
        <v>43</v>
      </c>
      <c r="J9" s="506"/>
      <c r="K9" s="506"/>
      <c r="L9" s="506"/>
      <c r="M9" s="506"/>
      <c r="N9" s="506"/>
      <c r="O9" s="506"/>
      <c r="P9" s="507"/>
      <c r="Q9" s="100"/>
    </row>
    <row r="10" spans="1:17" s="6" customFormat="1" ht="59.25" customHeight="1" thickBot="1" x14ac:dyDescent="0.25">
      <c r="A10" s="321" t="s">
        <v>83</v>
      </c>
      <c r="B10" s="322" t="s">
        <v>84</v>
      </c>
      <c r="C10" s="494"/>
      <c r="D10" s="495"/>
      <c r="E10" s="320" t="s">
        <v>213</v>
      </c>
      <c r="F10" s="323" t="s">
        <v>266</v>
      </c>
      <c r="G10" s="320" t="s">
        <v>267</v>
      </c>
      <c r="H10" s="324" t="s">
        <v>203</v>
      </c>
      <c r="I10" s="321" t="s">
        <v>83</v>
      </c>
      <c r="J10" s="322" t="s">
        <v>84</v>
      </c>
      <c r="K10" s="496"/>
      <c r="L10" s="497"/>
      <c r="M10" s="320" t="s">
        <v>213</v>
      </c>
      <c r="N10" s="323" t="s">
        <v>266</v>
      </c>
      <c r="O10" s="320" t="s">
        <v>267</v>
      </c>
      <c r="P10" s="324" t="s">
        <v>203</v>
      </c>
      <c r="Q10" s="100"/>
    </row>
    <row r="11" spans="1:17" s="1" customFormat="1" ht="18" customHeight="1" x14ac:dyDescent="0.2">
      <c r="A11" s="487" t="s">
        <v>41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9"/>
      <c r="Q11" s="101"/>
    </row>
    <row r="12" spans="1:17" s="2" customFormat="1" ht="18" customHeight="1" x14ac:dyDescent="0.2">
      <c r="A12" s="37" t="s">
        <v>0</v>
      </c>
      <c r="B12" s="548" t="s">
        <v>40</v>
      </c>
      <c r="C12" s="549"/>
      <c r="D12" s="550"/>
      <c r="E12" s="156">
        <f>E13+E17+E21+E25</f>
        <v>1066682875</v>
      </c>
      <c r="F12" s="156">
        <f>F13+F17+F21+F25</f>
        <v>1077849767</v>
      </c>
      <c r="G12" s="154">
        <f>G13+G17+G21+G25</f>
        <v>869574776</v>
      </c>
      <c r="H12" s="175">
        <f>+G12/F12*100</f>
        <v>80.676806974714495</v>
      </c>
      <c r="I12" s="38" t="s">
        <v>0</v>
      </c>
      <c r="J12" s="502" t="s">
        <v>20</v>
      </c>
      <c r="K12" s="503"/>
      <c r="L12" s="504"/>
      <c r="M12" s="153">
        <f>M13+M17+M21+M29+M25</f>
        <v>675762877</v>
      </c>
      <c r="N12" s="153">
        <f t="shared" ref="N12:O12" si="0">N13+N17+N21+N29+N25</f>
        <v>1148198459</v>
      </c>
      <c r="O12" s="153">
        <f t="shared" si="0"/>
        <v>652265701</v>
      </c>
      <c r="P12" s="155">
        <f>+O12/N12*100</f>
        <v>56.807749208100965</v>
      </c>
      <c r="Q12" s="102"/>
    </row>
    <row r="13" spans="1:17" s="1" customFormat="1" ht="18" customHeight="1" x14ac:dyDescent="0.2">
      <c r="A13" s="17"/>
      <c r="B13" s="482" t="s">
        <v>54</v>
      </c>
      <c r="C13" s="533" t="s">
        <v>206</v>
      </c>
      <c r="D13" s="534"/>
      <c r="E13" s="176">
        <f>E14+E15+E16</f>
        <v>959154588</v>
      </c>
      <c r="F13" s="176">
        <f>F14+F15+F16</f>
        <v>937006574</v>
      </c>
      <c r="G13" s="156">
        <f>G14+G15+G16</f>
        <v>811411955</v>
      </c>
      <c r="H13" s="175">
        <f t="shared" ref="H13:H26" si="1">+G13/F13*100</f>
        <v>86.596185930281422</v>
      </c>
      <c r="I13" s="13"/>
      <c r="J13" s="479" t="s">
        <v>49</v>
      </c>
      <c r="K13" s="498" t="s">
        <v>16</v>
      </c>
      <c r="L13" s="498"/>
      <c r="M13" s="156">
        <f>M14+M15+M16</f>
        <v>210282363</v>
      </c>
      <c r="N13" s="156">
        <f t="shared" ref="N13:O13" si="2">N14+N15+N16</f>
        <v>358076222</v>
      </c>
      <c r="O13" s="156">
        <f t="shared" si="2"/>
        <v>335048062</v>
      </c>
      <c r="P13" s="155">
        <f>+O13/N13*100</f>
        <v>93.568922317327178</v>
      </c>
      <c r="Q13" s="101"/>
    </row>
    <row r="14" spans="1:17" s="1" customFormat="1" ht="18" customHeight="1" x14ac:dyDescent="0.2">
      <c r="A14" s="17"/>
      <c r="B14" s="483"/>
      <c r="C14" s="19" t="s">
        <v>1</v>
      </c>
      <c r="D14" s="20" t="s">
        <v>10</v>
      </c>
      <c r="E14" s="157">
        <v>959154588</v>
      </c>
      <c r="F14" s="177">
        <v>937006574</v>
      </c>
      <c r="G14" s="157">
        <v>811411955</v>
      </c>
      <c r="H14" s="178">
        <f t="shared" si="1"/>
        <v>86.596185930281422</v>
      </c>
      <c r="I14" s="13"/>
      <c r="J14" s="480"/>
      <c r="K14" s="19" t="s">
        <v>1</v>
      </c>
      <c r="L14" s="20" t="s">
        <v>10</v>
      </c>
      <c r="M14" s="378">
        <v>209507273</v>
      </c>
      <c r="N14" s="158">
        <v>354224172</v>
      </c>
      <c r="O14" s="378">
        <v>332406712</v>
      </c>
      <c r="P14" s="160">
        <f t="shared" ref="P14:P37" si="3">+O14/N14*100</f>
        <v>93.840776060872543</v>
      </c>
      <c r="Q14" s="101"/>
    </row>
    <row r="15" spans="1:17" s="1" customFormat="1" ht="18" customHeight="1" x14ac:dyDescent="0.2">
      <c r="A15" s="17"/>
      <c r="B15" s="483"/>
      <c r="C15" s="19" t="s">
        <v>2</v>
      </c>
      <c r="D15" s="20" t="s">
        <v>12</v>
      </c>
      <c r="E15" s="177">
        <v>0</v>
      </c>
      <c r="F15" s="177">
        <v>0</v>
      </c>
      <c r="G15" s="157">
        <v>0</v>
      </c>
      <c r="H15" s="178">
        <v>0</v>
      </c>
      <c r="I15" s="13"/>
      <c r="J15" s="480"/>
      <c r="K15" s="19" t="s">
        <v>2</v>
      </c>
      <c r="L15" s="20" t="s">
        <v>12</v>
      </c>
      <c r="M15" s="378">
        <v>775090</v>
      </c>
      <c r="N15" s="158">
        <v>3852050</v>
      </c>
      <c r="O15" s="378">
        <v>2641350</v>
      </c>
      <c r="P15" s="160">
        <f t="shared" si="3"/>
        <v>68.569982217260943</v>
      </c>
      <c r="Q15" s="101"/>
    </row>
    <row r="16" spans="1:17" s="1" customFormat="1" ht="18" customHeight="1" x14ac:dyDescent="0.2">
      <c r="A16" s="17"/>
      <c r="B16" s="484"/>
      <c r="C16" s="19" t="s">
        <v>4</v>
      </c>
      <c r="D16" s="20" t="s">
        <v>11</v>
      </c>
      <c r="E16" s="177">
        <v>0</v>
      </c>
      <c r="F16" s="177">
        <v>0</v>
      </c>
      <c r="G16" s="157">
        <v>0</v>
      </c>
      <c r="H16" s="178">
        <v>0</v>
      </c>
      <c r="I16" s="13"/>
      <c r="J16" s="481"/>
      <c r="K16" s="19" t="s">
        <v>4</v>
      </c>
      <c r="L16" s="20" t="s">
        <v>11</v>
      </c>
      <c r="M16" s="157">
        <v>0</v>
      </c>
      <c r="N16" s="158">
        <v>0</v>
      </c>
      <c r="O16" s="158">
        <v>0</v>
      </c>
      <c r="P16" s="160">
        <v>0</v>
      </c>
      <c r="Q16" s="101"/>
    </row>
    <row r="17" spans="1:17" s="1" customFormat="1" ht="18" customHeight="1" x14ac:dyDescent="0.2">
      <c r="A17" s="17"/>
      <c r="B17" s="482" t="s">
        <v>67</v>
      </c>
      <c r="C17" s="499" t="s">
        <v>6</v>
      </c>
      <c r="D17" s="500"/>
      <c r="E17" s="176">
        <f>E18+E19+E20</f>
        <v>0</v>
      </c>
      <c r="F17" s="176">
        <v>0</v>
      </c>
      <c r="G17" s="156">
        <f>G18+G19+G20</f>
        <v>0</v>
      </c>
      <c r="H17" s="178">
        <v>0</v>
      </c>
      <c r="I17" s="13"/>
      <c r="J17" s="479" t="s">
        <v>50</v>
      </c>
      <c r="K17" s="501" t="s">
        <v>19</v>
      </c>
      <c r="L17" s="501"/>
      <c r="M17" s="156">
        <f>M18+M19+M20</f>
        <v>16198168</v>
      </c>
      <c r="N17" s="156">
        <f t="shared" ref="N17:O17" si="4">N18+N19+N20</f>
        <v>21892745</v>
      </c>
      <c r="O17" s="156">
        <f t="shared" si="4"/>
        <v>17386897</v>
      </c>
      <c r="P17" s="155">
        <f t="shared" si="3"/>
        <v>79.418533399991645</v>
      </c>
      <c r="Q17" s="101"/>
    </row>
    <row r="18" spans="1:17" s="1" customFormat="1" ht="18" customHeight="1" x14ac:dyDescent="0.2">
      <c r="A18" s="17"/>
      <c r="B18" s="483"/>
      <c r="C18" s="19" t="s">
        <v>1</v>
      </c>
      <c r="D18" s="20" t="s">
        <v>10</v>
      </c>
      <c r="E18" s="177">
        <v>0</v>
      </c>
      <c r="F18" s="177">
        <v>0</v>
      </c>
      <c r="G18" s="157">
        <v>0</v>
      </c>
      <c r="H18" s="178">
        <v>0</v>
      </c>
      <c r="I18" s="13"/>
      <c r="J18" s="480"/>
      <c r="K18" s="19" t="s">
        <v>1</v>
      </c>
      <c r="L18" s="20" t="s">
        <v>10</v>
      </c>
      <c r="M18" s="378">
        <v>16040929</v>
      </c>
      <c r="N18" s="157">
        <v>20590903</v>
      </c>
      <c r="O18" s="378">
        <v>17310197</v>
      </c>
      <c r="P18" s="160">
        <f t="shared" si="3"/>
        <v>84.067206766017009</v>
      </c>
      <c r="Q18" s="101"/>
    </row>
    <row r="19" spans="1:17" s="1" customFormat="1" ht="18" customHeight="1" x14ac:dyDescent="0.2">
      <c r="A19" s="17"/>
      <c r="B19" s="483"/>
      <c r="C19" s="19" t="s">
        <v>2</v>
      </c>
      <c r="D19" s="20" t="s">
        <v>12</v>
      </c>
      <c r="E19" s="177">
        <v>0</v>
      </c>
      <c r="F19" s="177">
        <v>0</v>
      </c>
      <c r="G19" s="157">
        <v>0</v>
      </c>
      <c r="H19" s="178">
        <v>0</v>
      </c>
      <c r="I19" s="13"/>
      <c r="J19" s="480"/>
      <c r="K19" s="19" t="s">
        <v>2</v>
      </c>
      <c r="L19" s="20" t="s">
        <v>12</v>
      </c>
      <c r="M19" s="378">
        <v>157239</v>
      </c>
      <c r="N19" s="157">
        <v>1301842</v>
      </c>
      <c r="O19" s="378">
        <v>76700</v>
      </c>
      <c r="P19" s="160">
        <f t="shared" si="3"/>
        <v>5.8916519823450155</v>
      </c>
      <c r="Q19" s="101"/>
    </row>
    <row r="20" spans="1:17" s="1" customFormat="1" ht="18" customHeight="1" x14ac:dyDescent="0.2">
      <c r="A20" s="17"/>
      <c r="B20" s="484"/>
      <c r="C20" s="19" t="s">
        <v>4</v>
      </c>
      <c r="D20" s="20" t="s">
        <v>11</v>
      </c>
      <c r="E20" s="177">
        <v>0</v>
      </c>
      <c r="F20" s="177">
        <v>0</v>
      </c>
      <c r="G20" s="157">
        <v>0</v>
      </c>
      <c r="H20" s="178">
        <v>0</v>
      </c>
      <c r="I20" s="13"/>
      <c r="J20" s="481"/>
      <c r="K20" s="19" t="s">
        <v>4</v>
      </c>
      <c r="L20" s="20" t="s">
        <v>11</v>
      </c>
      <c r="M20" s="157">
        <v>0</v>
      </c>
      <c r="N20" s="158">
        <v>0</v>
      </c>
      <c r="O20" s="158">
        <v>0</v>
      </c>
      <c r="P20" s="160">
        <v>0</v>
      </c>
      <c r="Q20" s="101"/>
    </row>
    <row r="21" spans="1:17" s="1" customFormat="1" ht="18" customHeight="1" x14ac:dyDescent="0.2">
      <c r="A21" s="17"/>
      <c r="B21" s="482" t="s">
        <v>68</v>
      </c>
      <c r="C21" s="499" t="s">
        <v>32</v>
      </c>
      <c r="D21" s="500"/>
      <c r="E21" s="176">
        <f>E22+E23+E24</f>
        <v>10340473</v>
      </c>
      <c r="F21" s="176">
        <f>F22+F23+F24</f>
        <v>1819600</v>
      </c>
      <c r="G21" s="156">
        <f>G22+G23+G24</f>
        <v>1861266</v>
      </c>
      <c r="H21" s="175">
        <f t="shared" si="1"/>
        <v>102.28984392174105</v>
      </c>
      <c r="I21" s="13"/>
      <c r="J21" s="479" t="s">
        <v>51</v>
      </c>
      <c r="K21" s="508" t="s">
        <v>31</v>
      </c>
      <c r="L21" s="508"/>
      <c r="M21" s="156">
        <f>M22+M23+M24</f>
        <v>357664038</v>
      </c>
      <c r="N21" s="156">
        <f t="shared" ref="N21:O21" si="5">N22+N23+N24</f>
        <v>438965194</v>
      </c>
      <c r="O21" s="156">
        <f t="shared" si="5"/>
        <v>217605684</v>
      </c>
      <c r="P21" s="155">
        <f t="shared" si="3"/>
        <v>49.572423275090003</v>
      </c>
      <c r="Q21" s="101"/>
    </row>
    <row r="22" spans="1:17" s="1" customFormat="1" ht="18" customHeight="1" x14ac:dyDescent="0.2">
      <c r="A22" s="17"/>
      <c r="B22" s="483"/>
      <c r="C22" s="19" t="s">
        <v>1</v>
      </c>
      <c r="D22" s="20" t="s">
        <v>10</v>
      </c>
      <c r="E22" s="157">
        <v>10340473</v>
      </c>
      <c r="F22" s="177">
        <v>1819600</v>
      </c>
      <c r="G22" s="157">
        <v>1861266</v>
      </c>
      <c r="H22" s="178">
        <f t="shared" si="1"/>
        <v>102.28984392174105</v>
      </c>
      <c r="I22" s="13"/>
      <c r="J22" s="480"/>
      <c r="K22" s="19" t="s">
        <v>1</v>
      </c>
      <c r="L22" s="20" t="s">
        <v>10</v>
      </c>
      <c r="M22" s="379">
        <v>356202151</v>
      </c>
      <c r="N22" s="158">
        <v>436480744</v>
      </c>
      <c r="O22" s="379">
        <v>215121234</v>
      </c>
      <c r="P22" s="160">
        <f t="shared" si="3"/>
        <v>49.285389322925091</v>
      </c>
      <c r="Q22" s="101"/>
    </row>
    <row r="23" spans="1:17" s="1" customFormat="1" ht="18" customHeight="1" x14ac:dyDescent="0.2">
      <c r="A23" s="17"/>
      <c r="B23" s="483"/>
      <c r="C23" s="19" t="s">
        <v>2</v>
      </c>
      <c r="D23" s="20" t="s">
        <v>12</v>
      </c>
      <c r="E23" s="177">
        <v>0</v>
      </c>
      <c r="F23" s="177">
        <v>0</v>
      </c>
      <c r="G23" s="157">
        <v>0</v>
      </c>
      <c r="H23" s="178">
        <v>0</v>
      </c>
      <c r="I23" s="13"/>
      <c r="J23" s="480"/>
      <c r="K23" s="19" t="s">
        <v>2</v>
      </c>
      <c r="L23" s="20" t="s">
        <v>12</v>
      </c>
      <c r="M23" s="378">
        <v>1461887</v>
      </c>
      <c r="N23" s="158">
        <v>2484450</v>
      </c>
      <c r="O23" s="378">
        <v>2484450</v>
      </c>
      <c r="P23" s="160">
        <f t="shared" si="3"/>
        <v>100</v>
      </c>
      <c r="Q23" s="101"/>
    </row>
    <row r="24" spans="1:17" s="1" customFormat="1" ht="18" customHeight="1" x14ac:dyDescent="0.2">
      <c r="A24" s="17"/>
      <c r="B24" s="484"/>
      <c r="C24" s="19" t="s">
        <v>4</v>
      </c>
      <c r="D24" s="20" t="s">
        <v>11</v>
      </c>
      <c r="E24" s="177">
        <v>0</v>
      </c>
      <c r="F24" s="177">
        <v>0</v>
      </c>
      <c r="G24" s="157">
        <v>0</v>
      </c>
      <c r="H24" s="178">
        <v>0</v>
      </c>
      <c r="I24" s="13"/>
      <c r="J24" s="481"/>
      <c r="K24" s="19" t="s">
        <v>4</v>
      </c>
      <c r="L24" s="20" t="s">
        <v>11</v>
      </c>
      <c r="M24" s="157">
        <v>0</v>
      </c>
      <c r="N24" s="158">
        <v>0</v>
      </c>
      <c r="O24" s="158">
        <v>0</v>
      </c>
      <c r="P24" s="160">
        <v>0</v>
      </c>
      <c r="Q24" s="101"/>
    </row>
    <row r="25" spans="1:17" s="1" customFormat="1" ht="18" customHeight="1" x14ac:dyDescent="0.2">
      <c r="A25" s="17"/>
      <c r="B25" s="482" t="s">
        <v>70</v>
      </c>
      <c r="C25" s="477" t="s">
        <v>46</v>
      </c>
      <c r="D25" s="478"/>
      <c r="E25" s="176">
        <f>E26+E27+E28</f>
        <v>97187814</v>
      </c>
      <c r="F25" s="176">
        <f>F26+F27+F28</f>
        <v>139023593</v>
      </c>
      <c r="G25" s="156">
        <f>G26+G27+G28</f>
        <v>56301555</v>
      </c>
      <c r="H25" s="175">
        <f t="shared" si="1"/>
        <v>40.497841974203617</v>
      </c>
      <c r="I25" s="13"/>
      <c r="J25" s="479" t="s">
        <v>52</v>
      </c>
      <c r="K25" s="498" t="s">
        <v>8</v>
      </c>
      <c r="L25" s="498"/>
      <c r="M25" s="156">
        <f>M26+M27+M28</f>
        <v>0</v>
      </c>
      <c r="N25" s="156">
        <v>0</v>
      </c>
      <c r="O25" s="154">
        <v>0</v>
      </c>
      <c r="P25" s="155">
        <v>0</v>
      </c>
      <c r="Q25" s="101"/>
    </row>
    <row r="26" spans="1:17" s="1" customFormat="1" ht="18" customHeight="1" x14ac:dyDescent="0.2">
      <c r="A26" s="17"/>
      <c r="B26" s="483"/>
      <c r="C26" s="19" t="s">
        <v>1</v>
      </c>
      <c r="D26" s="20" t="s">
        <v>10</v>
      </c>
      <c r="E26" s="157">
        <v>97187814</v>
      </c>
      <c r="F26" s="177">
        <v>139023593</v>
      </c>
      <c r="G26" s="157">
        <v>56301555</v>
      </c>
      <c r="H26" s="178">
        <f t="shared" si="1"/>
        <v>40.497841974203617</v>
      </c>
      <c r="I26" s="13"/>
      <c r="J26" s="480"/>
      <c r="K26" s="19" t="s">
        <v>1</v>
      </c>
      <c r="L26" s="20" t="s">
        <v>10</v>
      </c>
      <c r="M26" s="157">
        <v>0</v>
      </c>
      <c r="N26" s="158">
        <v>0</v>
      </c>
      <c r="O26" s="158">
        <v>0</v>
      </c>
      <c r="P26" s="160">
        <v>0</v>
      </c>
      <c r="Q26" s="101"/>
    </row>
    <row r="27" spans="1:17" s="1" customFormat="1" ht="18" customHeight="1" x14ac:dyDescent="0.2">
      <c r="A27" s="17"/>
      <c r="B27" s="483"/>
      <c r="C27" s="19" t="s">
        <v>2</v>
      </c>
      <c r="D27" s="20" t="s">
        <v>12</v>
      </c>
      <c r="E27" s="177">
        <v>0</v>
      </c>
      <c r="F27" s="177">
        <v>0</v>
      </c>
      <c r="G27" s="157">
        <v>0</v>
      </c>
      <c r="H27" s="178">
        <v>0</v>
      </c>
      <c r="I27" s="13"/>
      <c r="J27" s="480"/>
      <c r="K27" s="19" t="s">
        <v>2</v>
      </c>
      <c r="L27" s="20" t="s">
        <v>12</v>
      </c>
      <c r="M27" s="157">
        <v>0</v>
      </c>
      <c r="N27" s="158">
        <v>0</v>
      </c>
      <c r="O27" s="158">
        <v>0</v>
      </c>
      <c r="P27" s="160">
        <v>0</v>
      </c>
      <c r="Q27" s="101"/>
    </row>
    <row r="28" spans="1:17" s="1" customFormat="1" ht="18" customHeight="1" x14ac:dyDescent="0.2">
      <c r="A28" s="18"/>
      <c r="B28" s="484"/>
      <c r="C28" s="19" t="s">
        <v>4</v>
      </c>
      <c r="D28" s="20" t="s">
        <v>11</v>
      </c>
      <c r="E28" s="177">
        <v>0</v>
      </c>
      <c r="F28" s="177">
        <v>0</v>
      </c>
      <c r="G28" s="157">
        <v>0</v>
      </c>
      <c r="H28" s="178">
        <v>0</v>
      </c>
      <c r="I28" s="13"/>
      <c r="J28" s="481"/>
      <c r="K28" s="19" t="s">
        <v>4</v>
      </c>
      <c r="L28" s="20" t="s">
        <v>11</v>
      </c>
      <c r="M28" s="157">
        <v>0</v>
      </c>
      <c r="N28" s="158">
        <v>0</v>
      </c>
      <c r="O28" s="158">
        <v>0</v>
      </c>
      <c r="P28" s="160">
        <v>0</v>
      </c>
      <c r="Q28" s="101"/>
    </row>
    <row r="29" spans="1:17" s="1" customFormat="1" ht="18" customHeight="1" x14ac:dyDescent="0.2">
      <c r="A29" s="536"/>
      <c r="B29" s="537"/>
      <c r="C29" s="537"/>
      <c r="D29" s="537"/>
      <c r="E29" s="537"/>
      <c r="F29" s="537"/>
      <c r="G29" s="537"/>
      <c r="H29" s="538"/>
      <c r="I29" s="13"/>
      <c r="J29" s="479" t="s">
        <v>53</v>
      </c>
      <c r="K29" s="508" t="s">
        <v>13</v>
      </c>
      <c r="L29" s="508"/>
      <c r="M29" s="156">
        <f>M30+M33+M34</f>
        <v>91618308</v>
      </c>
      <c r="N29" s="156">
        <f>N30+N33+N34</f>
        <v>329264298</v>
      </c>
      <c r="O29" s="156">
        <f t="shared" ref="O29" si="6">O30+O33+O34</f>
        <v>82225058</v>
      </c>
      <c r="P29" s="224">
        <f t="shared" si="3"/>
        <v>24.972357616494456</v>
      </c>
      <c r="Q29" s="101"/>
    </row>
    <row r="30" spans="1:17" s="1" customFormat="1" ht="18" customHeight="1" x14ac:dyDescent="0.2">
      <c r="A30" s="539"/>
      <c r="B30" s="540"/>
      <c r="C30" s="540"/>
      <c r="D30" s="540"/>
      <c r="E30" s="540"/>
      <c r="F30" s="540"/>
      <c r="G30" s="540"/>
      <c r="H30" s="541"/>
      <c r="I30" s="13"/>
      <c r="J30" s="480"/>
      <c r="K30" s="19" t="s">
        <v>1</v>
      </c>
      <c r="L30" s="20" t="s">
        <v>10</v>
      </c>
      <c r="M30" s="380">
        <v>86084480</v>
      </c>
      <c r="N30" s="157">
        <v>322954298</v>
      </c>
      <c r="O30" s="380">
        <v>80515058</v>
      </c>
      <c r="P30" s="162">
        <f t="shared" si="3"/>
        <v>24.930790052529353</v>
      </c>
      <c r="Q30" s="101"/>
    </row>
    <row r="31" spans="1:17" s="1" customFormat="1" ht="18" customHeight="1" x14ac:dyDescent="0.2">
      <c r="A31" s="539"/>
      <c r="B31" s="540"/>
      <c r="C31" s="540"/>
      <c r="D31" s="540"/>
      <c r="E31" s="540"/>
      <c r="F31" s="540"/>
      <c r="G31" s="540"/>
      <c r="H31" s="541"/>
      <c r="I31" s="13"/>
      <c r="J31" s="480"/>
      <c r="K31" s="33" t="s">
        <v>85</v>
      </c>
      <c r="L31" s="34" t="s">
        <v>87</v>
      </c>
      <c r="M31" s="225">
        <v>0</v>
      </c>
      <c r="N31" s="163">
        <v>90461524</v>
      </c>
      <c r="O31" s="381">
        <v>0</v>
      </c>
      <c r="P31" s="166">
        <f t="shared" si="3"/>
        <v>0</v>
      </c>
      <c r="Q31" s="101"/>
    </row>
    <row r="32" spans="1:17" s="1" customFormat="1" ht="18" customHeight="1" x14ac:dyDescent="0.2">
      <c r="A32" s="539"/>
      <c r="B32" s="540"/>
      <c r="C32" s="540"/>
      <c r="D32" s="540"/>
      <c r="E32" s="540"/>
      <c r="F32" s="540"/>
      <c r="G32" s="540"/>
      <c r="H32" s="541"/>
      <c r="I32" s="13"/>
      <c r="J32" s="480"/>
      <c r="K32" s="33" t="s">
        <v>86</v>
      </c>
      <c r="L32" s="34" t="s">
        <v>88</v>
      </c>
      <c r="M32" s="225">
        <v>0</v>
      </c>
      <c r="N32" s="163">
        <v>150820911</v>
      </c>
      <c r="O32" s="381">
        <v>0</v>
      </c>
      <c r="P32" s="166">
        <f t="shared" si="3"/>
        <v>0</v>
      </c>
      <c r="Q32" s="101"/>
    </row>
    <row r="33" spans="1:17" s="1" customFormat="1" ht="18" customHeight="1" x14ac:dyDescent="0.2">
      <c r="A33" s="539"/>
      <c r="B33" s="540"/>
      <c r="C33" s="540"/>
      <c r="D33" s="540"/>
      <c r="E33" s="540"/>
      <c r="F33" s="540"/>
      <c r="G33" s="540"/>
      <c r="H33" s="541"/>
      <c r="I33" s="13"/>
      <c r="J33" s="480"/>
      <c r="K33" s="19" t="s">
        <v>2</v>
      </c>
      <c r="L33" s="20" t="s">
        <v>12</v>
      </c>
      <c r="M33" s="380">
        <v>5533828</v>
      </c>
      <c r="N33" s="157">
        <v>6310000</v>
      </c>
      <c r="O33" s="380">
        <v>1710000</v>
      </c>
      <c r="P33" s="162">
        <f t="shared" si="3"/>
        <v>27.099841521394612</v>
      </c>
      <c r="Q33" s="101"/>
    </row>
    <row r="34" spans="1:17" s="1" customFormat="1" ht="18" customHeight="1" x14ac:dyDescent="0.2">
      <c r="A34" s="542"/>
      <c r="B34" s="543"/>
      <c r="C34" s="543"/>
      <c r="D34" s="543"/>
      <c r="E34" s="543"/>
      <c r="F34" s="543"/>
      <c r="G34" s="543"/>
      <c r="H34" s="544"/>
      <c r="I34" s="12"/>
      <c r="J34" s="481"/>
      <c r="K34" s="19" t="s">
        <v>4</v>
      </c>
      <c r="L34" s="20" t="s">
        <v>11</v>
      </c>
      <c r="M34" s="157">
        <v>0</v>
      </c>
      <c r="N34" s="158">
        <v>0</v>
      </c>
      <c r="O34" s="161">
        <v>0</v>
      </c>
      <c r="P34" s="162">
        <v>0</v>
      </c>
      <c r="Q34" s="101"/>
    </row>
    <row r="35" spans="1:17" s="1" customFormat="1" ht="18" customHeight="1" x14ac:dyDescent="0.2">
      <c r="A35" s="35" t="s">
        <v>0</v>
      </c>
      <c r="B35" s="545" t="s">
        <v>22</v>
      </c>
      <c r="C35" s="546"/>
      <c r="D35" s="547"/>
      <c r="E35" s="179">
        <f>+E36+E37+E38</f>
        <v>1066682875</v>
      </c>
      <c r="F35" s="179">
        <f>+F36+F37+F38</f>
        <v>1077849767</v>
      </c>
      <c r="G35" s="179">
        <f>+G36+G37+G38</f>
        <v>869574776</v>
      </c>
      <c r="H35" s="180">
        <f>+G35/F35*100</f>
        <v>80.676806974714495</v>
      </c>
      <c r="I35" s="36" t="s">
        <v>0</v>
      </c>
      <c r="J35" s="485" t="s">
        <v>17</v>
      </c>
      <c r="K35" s="486"/>
      <c r="L35" s="486"/>
      <c r="M35" s="171">
        <f>+M36+M37+M38</f>
        <v>675762877</v>
      </c>
      <c r="N35" s="171">
        <f>+N36+N37+N38</f>
        <v>1148198459</v>
      </c>
      <c r="O35" s="171">
        <f>+O36+O37+O38</f>
        <v>652265701</v>
      </c>
      <c r="P35" s="172">
        <f t="shared" si="3"/>
        <v>56.807749208100965</v>
      </c>
      <c r="Q35" s="101"/>
    </row>
    <row r="36" spans="1:17" s="1" customFormat="1" ht="18" customHeight="1" x14ac:dyDescent="0.2">
      <c r="A36" s="24"/>
      <c r="B36" s="530" t="s">
        <v>73</v>
      </c>
      <c r="C36" s="25" t="s">
        <v>1</v>
      </c>
      <c r="D36" s="26" t="s">
        <v>10</v>
      </c>
      <c r="E36" s="181">
        <f t="shared" ref="E36:G38" si="7">+E26+E22+E18+E14</f>
        <v>1066682875</v>
      </c>
      <c r="F36" s="181">
        <f t="shared" si="7"/>
        <v>1077849767</v>
      </c>
      <c r="G36" s="181">
        <f t="shared" si="7"/>
        <v>869574776</v>
      </c>
      <c r="H36" s="182">
        <f t="shared" ref="H36" si="8">+G36/F36*100</f>
        <v>80.676806974714495</v>
      </c>
      <c r="I36" s="466"/>
      <c r="J36" s="535" t="s">
        <v>72</v>
      </c>
      <c r="K36" s="25" t="s">
        <v>1</v>
      </c>
      <c r="L36" s="26" t="s">
        <v>10</v>
      </c>
      <c r="M36" s="173">
        <f>+M30+M26+M22+M18+M14</f>
        <v>667834833</v>
      </c>
      <c r="N36" s="173">
        <f>+N30+N26+N22+N18+N14</f>
        <v>1134250117</v>
      </c>
      <c r="O36" s="173">
        <f>+O30+O26+O22+O18+O14</f>
        <v>645353201</v>
      </c>
      <c r="P36" s="174">
        <f t="shared" si="3"/>
        <v>56.896904071467688</v>
      </c>
      <c r="Q36" s="101"/>
    </row>
    <row r="37" spans="1:17" s="1" customFormat="1" ht="18" customHeight="1" x14ac:dyDescent="0.2">
      <c r="A37" s="24"/>
      <c r="B37" s="531"/>
      <c r="C37" s="25" t="s">
        <v>2</v>
      </c>
      <c r="D37" s="26" t="s">
        <v>12</v>
      </c>
      <c r="E37" s="181">
        <f t="shared" si="7"/>
        <v>0</v>
      </c>
      <c r="F37" s="181">
        <f t="shared" si="7"/>
        <v>0</v>
      </c>
      <c r="G37" s="181">
        <f t="shared" si="7"/>
        <v>0</v>
      </c>
      <c r="H37" s="182">
        <v>0</v>
      </c>
      <c r="I37" s="466"/>
      <c r="J37" s="535"/>
      <c r="K37" s="25" t="s">
        <v>2</v>
      </c>
      <c r="L37" s="26" t="s">
        <v>12</v>
      </c>
      <c r="M37" s="173">
        <f t="shared" ref="M37:O38" si="9">+M33+M27+M23+M19+M15</f>
        <v>7928044</v>
      </c>
      <c r="N37" s="173">
        <f t="shared" si="9"/>
        <v>13948342</v>
      </c>
      <c r="O37" s="173">
        <f t="shared" si="9"/>
        <v>6912500</v>
      </c>
      <c r="P37" s="174">
        <f t="shared" si="3"/>
        <v>49.557861428978441</v>
      </c>
      <c r="Q37" s="101"/>
    </row>
    <row r="38" spans="1:17" s="1" customFormat="1" ht="18" customHeight="1" x14ac:dyDescent="0.2">
      <c r="A38" s="27"/>
      <c r="B38" s="532"/>
      <c r="C38" s="25" t="s">
        <v>4</v>
      </c>
      <c r="D38" s="26" t="s">
        <v>11</v>
      </c>
      <c r="E38" s="181">
        <f t="shared" si="7"/>
        <v>0</v>
      </c>
      <c r="F38" s="181">
        <f t="shared" si="7"/>
        <v>0</v>
      </c>
      <c r="G38" s="181">
        <f t="shared" si="7"/>
        <v>0</v>
      </c>
      <c r="H38" s="182">
        <v>0</v>
      </c>
      <c r="I38" s="467"/>
      <c r="J38" s="535"/>
      <c r="K38" s="25" t="s">
        <v>4</v>
      </c>
      <c r="L38" s="26" t="s">
        <v>11</v>
      </c>
      <c r="M38" s="188">
        <f t="shared" si="9"/>
        <v>0</v>
      </c>
      <c r="N38" s="188">
        <f t="shared" si="9"/>
        <v>0</v>
      </c>
      <c r="O38" s="188">
        <f t="shared" si="9"/>
        <v>0</v>
      </c>
      <c r="P38" s="174">
        <v>0</v>
      </c>
      <c r="Q38" s="101"/>
    </row>
    <row r="39" spans="1:17" s="40" customFormat="1" ht="30.75" customHeight="1" thickBot="1" x14ac:dyDescent="0.25">
      <c r="A39" s="510" t="s">
        <v>89</v>
      </c>
      <c r="B39" s="511"/>
      <c r="C39" s="511"/>
      <c r="D39" s="512"/>
      <c r="E39" s="336"/>
      <c r="F39" s="336">
        <f>N35-F35</f>
        <v>70348692</v>
      </c>
      <c r="G39" s="336"/>
      <c r="H39" s="337"/>
      <c r="I39" s="510" t="s">
        <v>90</v>
      </c>
      <c r="J39" s="511"/>
      <c r="K39" s="511"/>
      <c r="L39" s="512"/>
      <c r="M39" s="336">
        <f>+E35-M35</f>
        <v>390919998</v>
      </c>
      <c r="N39" s="336"/>
      <c r="O39" s="325">
        <f>+G35-O35</f>
        <v>217309075</v>
      </c>
      <c r="P39" s="331"/>
      <c r="Q39" s="103"/>
    </row>
    <row r="40" spans="1:17" s="1" customFormat="1" ht="18" customHeight="1" x14ac:dyDescent="0.2">
      <c r="A40" s="487" t="s">
        <v>45</v>
      </c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9"/>
      <c r="Q40" s="101"/>
    </row>
    <row r="41" spans="1:17" s="1" customFormat="1" ht="18" customHeight="1" x14ac:dyDescent="0.2">
      <c r="A41" s="16" t="s">
        <v>3</v>
      </c>
      <c r="B41" s="552" t="s">
        <v>23</v>
      </c>
      <c r="C41" s="553"/>
      <c r="D41" s="554"/>
      <c r="E41" s="156">
        <f>E42+E46+E50</f>
        <v>13274803</v>
      </c>
      <c r="F41" s="156">
        <f>F42+F46+F50</f>
        <v>2664000</v>
      </c>
      <c r="G41" s="156">
        <f>G42+G46+G50</f>
        <v>0</v>
      </c>
      <c r="H41" s="175">
        <f>G41/F41*100</f>
        <v>0</v>
      </c>
      <c r="I41" s="14" t="s">
        <v>3</v>
      </c>
      <c r="J41" s="555" t="s">
        <v>21</v>
      </c>
      <c r="K41" s="556"/>
      <c r="L41" s="557"/>
      <c r="M41" s="153">
        <f>M42+M46+M50</f>
        <v>228061020</v>
      </c>
      <c r="N41" s="153">
        <f>N42+N46+N50</f>
        <v>241778344</v>
      </c>
      <c r="O41" s="153">
        <f>O42+O46+O50</f>
        <v>155962426</v>
      </c>
      <c r="P41" s="175">
        <f>+O41/N41*100</f>
        <v>64.506367038397784</v>
      </c>
      <c r="Q41" s="101"/>
    </row>
    <row r="42" spans="1:17" s="1" customFormat="1" ht="18" customHeight="1" x14ac:dyDescent="0.2">
      <c r="A42" s="17"/>
      <c r="B42" s="482" t="s">
        <v>66</v>
      </c>
      <c r="C42" s="533" t="s">
        <v>204</v>
      </c>
      <c r="D42" s="534"/>
      <c r="E42" s="176">
        <f>E43+E44+E45</f>
        <v>10000000</v>
      </c>
      <c r="F42" s="176">
        <f>F43+F44+F45</f>
        <v>0</v>
      </c>
      <c r="G42" s="176">
        <f>G43+G44+G45</f>
        <v>0</v>
      </c>
      <c r="H42" s="175">
        <v>0</v>
      </c>
      <c r="I42" s="13"/>
      <c r="J42" s="479" t="s">
        <v>55</v>
      </c>
      <c r="K42" s="477" t="s">
        <v>14</v>
      </c>
      <c r="L42" s="478"/>
      <c r="M42" s="156">
        <f>M43+M44+M45</f>
        <v>220612975</v>
      </c>
      <c r="N42" s="156">
        <f>N43+N44+N45</f>
        <v>239587594</v>
      </c>
      <c r="O42" s="156">
        <f>O43+O44+O45</f>
        <v>153898676</v>
      </c>
      <c r="P42" s="175">
        <f t="shared" ref="P42:P46" si="10">+O42/N42*100</f>
        <v>64.234826783226524</v>
      </c>
      <c r="Q42" s="101"/>
    </row>
    <row r="43" spans="1:17" s="1" customFormat="1" ht="18" customHeight="1" x14ac:dyDescent="0.2">
      <c r="A43" s="17"/>
      <c r="B43" s="483"/>
      <c r="C43" s="19" t="s">
        <v>1</v>
      </c>
      <c r="D43" s="20" t="s">
        <v>10</v>
      </c>
      <c r="E43" s="157">
        <v>10000000</v>
      </c>
      <c r="F43" s="177">
        <v>0</v>
      </c>
      <c r="G43" s="157">
        <v>0</v>
      </c>
      <c r="H43" s="178">
        <v>0</v>
      </c>
      <c r="I43" s="13"/>
      <c r="J43" s="480"/>
      <c r="K43" s="19" t="s">
        <v>1</v>
      </c>
      <c r="L43" s="20" t="s">
        <v>10</v>
      </c>
      <c r="M43" s="158">
        <v>220612975</v>
      </c>
      <c r="N43" s="158">
        <v>239587594</v>
      </c>
      <c r="O43" s="158">
        <v>153898676</v>
      </c>
      <c r="P43" s="178">
        <f t="shared" si="10"/>
        <v>64.234826783226524</v>
      </c>
      <c r="Q43" s="101"/>
    </row>
    <row r="44" spans="1:17" s="1" customFormat="1" ht="18" customHeight="1" x14ac:dyDescent="0.2">
      <c r="A44" s="17"/>
      <c r="B44" s="483"/>
      <c r="C44" s="19" t="s">
        <v>2</v>
      </c>
      <c r="D44" s="20" t="s">
        <v>12</v>
      </c>
      <c r="E44" s="177">
        <v>0</v>
      </c>
      <c r="F44" s="177">
        <v>0</v>
      </c>
      <c r="G44" s="157">
        <v>0</v>
      </c>
      <c r="H44" s="178">
        <v>0</v>
      </c>
      <c r="I44" s="13"/>
      <c r="J44" s="480"/>
      <c r="K44" s="19" t="s">
        <v>2</v>
      </c>
      <c r="L44" s="20" t="s">
        <v>12</v>
      </c>
      <c r="M44" s="157">
        <v>0</v>
      </c>
      <c r="N44" s="158">
        <v>0</v>
      </c>
      <c r="O44" s="158">
        <v>0</v>
      </c>
      <c r="P44" s="178">
        <v>0</v>
      </c>
      <c r="Q44" s="101"/>
    </row>
    <row r="45" spans="1:17" s="1" customFormat="1" ht="18" customHeight="1" x14ac:dyDescent="0.2">
      <c r="A45" s="17"/>
      <c r="B45" s="484"/>
      <c r="C45" s="19" t="s">
        <v>4</v>
      </c>
      <c r="D45" s="20" t="s">
        <v>11</v>
      </c>
      <c r="E45" s="177">
        <v>0</v>
      </c>
      <c r="F45" s="177">
        <v>0</v>
      </c>
      <c r="G45" s="157">
        <v>0</v>
      </c>
      <c r="H45" s="178">
        <v>0</v>
      </c>
      <c r="I45" s="13"/>
      <c r="J45" s="481"/>
      <c r="K45" s="19" t="s">
        <v>4</v>
      </c>
      <c r="L45" s="20" t="s">
        <v>11</v>
      </c>
      <c r="M45" s="157">
        <v>0</v>
      </c>
      <c r="N45" s="158">
        <v>0</v>
      </c>
      <c r="O45" s="158">
        <v>0</v>
      </c>
      <c r="P45" s="178">
        <v>0</v>
      </c>
      <c r="Q45" s="101"/>
    </row>
    <row r="46" spans="1:17" s="1" customFormat="1" ht="18" customHeight="1" x14ac:dyDescent="0.2">
      <c r="A46" s="17"/>
      <c r="B46" s="482" t="s">
        <v>69</v>
      </c>
      <c r="C46" s="499" t="s">
        <v>24</v>
      </c>
      <c r="D46" s="500"/>
      <c r="E46" s="176">
        <f>E47+E48+E49</f>
        <v>3274803</v>
      </c>
      <c r="F46" s="176">
        <f>F47+F48+F49</f>
        <v>2664000</v>
      </c>
      <c r="G46" s="176">
        <f>G47+G48+G49</f>
        <v>0</v>
      </c>
      <c r="H46" s="175">
        <f t="shared" ref="H46:H47" si="11">G46/F46*100</f>
        <v>0</v>
      </c>
      <c r="I46" s="13"/>
      <c r="J46" s="479" t="s">
        <v>56</v>
      </c>
      <c r="K46" s="499" t="s">
        <v>15</v>
      </c>
      <c r="L46" s="500"/>
      <c r="M46" s="156">
        <f>M47+M48+M49</f>
        <v>7448045</v>
      </c>
      <c r="N46" s="156">
        <f>N47+N48+N49</f>
        <v>2190750</v>
      </c>
      <c r="O46" s="156">
        <f>O47+O48+O49</f>
        <v>2063750</v>
      </c>
      <c r="P46" s="175">
        <f t="shared" si="10"/>
        <v>94.20289855072464</v>
      </c>
      <c r="Q46" s="101"/>
    </row>
    <row r="47" spans="1:17" s="1" customFormat="1" ht="18" customHeight="1" x14ac:dyDescent="0.2">
      <c r="A47" s="17"/>
      <c r="B47" s="483"/>
      <c r="C47" s="19" t="s">
        <v>1</v>
      </c>
      <c r="D47" s="20" t="s">
        <v>10</v>
      </c>
      <c r="E47" s="157">
        <v>3274803</v>
      </c>
      <c r="F47" s="177">
        <v>2664000</v>
      </c>
      <c r="G47" s="157">
        <v>0</v>
      </c>
      <c r="H47" s="178">
        <f t="shared" si="11"/>
        <v>0</v>
      </c>
      <c r="I47" s="13"/>
      <c r="J47" s="480"/>
      <c r="K47" s="19" t="s">
        <v>1</v>
      </c>
      <c r="L47" s="20" t="s">
        <v>10</v>
      </c>
      <c r="M47" s="158">
        <v>7448045</v>
      </c>
      <c r="N47" s="158">
        <v>2190750</v>
      </c>
      <c r="O47" s="158">
        <v>2063750</v>
      </c>
      <c r="P47" s="178">
        <f>+O47/N47*100</f>
        <v>94.20289855072464</v>
      </c>
      <c r="Q47" s="101"/>
    </row>
    <row r="48" spans="1:17" s="1" customFormat="1" ht="18" customHeight="1" x14ac:dyDescent="0.2">
      <c r="A48" s="17"/>
      <c r="B48" s="483"/>
      <c r="C48" s="19" t="s">
        <v>2</v>
      </c>
      <c r="D48" s="20" t="s">
        <v>12</v>
      </c>
      <c r="E48" s="177">
        <v>0</v>
      </c>
      <c r="F48" s="177">
        <v>0</v>
      </c>
      <c r="G48" s="157">
        <v>0</v>
      </c>
      <c r="H48" s="178">
        <v>0</v>
      </c>
      <c r="I48" s="13"/>
      <c r="J48" s="480"/>
      <c r="K48" s="19" t="s">
        <v>2</v>
      </c>
      <c r="L48" s="20" t="s">
        <v>12</v>
      </c>
      <c r="M48" s="157">
        <v>0</v>
      </c>
      <c r="N48" s="158">
        <v>0</v>
      </c>
      <c r="O48" s="158">
        <v>0</v>
      </c>
      <c r="P48" s="178">
        <v>0</v>
      </c>
      <c r="Q48" s="101"/>
    </row>
    <row r="49" spans="1:17" s="1" customFormat="1" ht="18" customHeight="1" x14ac:dyDescent="0.2">
      <c r="A49" s="17"/>
      <c r="B49" s="484"/>
      <c r="C49" s="19" t="s">
        <v>4</v>
      </c>
      <c r="D49" s="20" t="s">
        <v>11</v>
      </c>
      <c r="E49" s="177">
        <v>0</v>
      </c>
      <c r="F49" s="177">
        <v>0</v>
      </c>
      <c r="G49" s="157">
        <v>0</v>
      </c>
      <c r="H49" s="178">
        <v>0</v>
      </c>
      <c r="I49" s="13"/>
      <c r="J49" s="481"/>
      <c r="K49" s="19" t="s">
        <v>4</v>
      </c>
      <c r="L49" s="20" t="s">
        <v>11</v>
      </c>
      <c r="M49" s="157">
        <v>0</v>
      </c>
      <c r="N49" s="158">
        <v>0</v>
      </c>
      <c r="O49" s="158">
        <v>0</v>
      </c>
      <c r="P49" s="178">
        <v>0</v>
      </c>
      <c r="Q49" s="101"/>
    </row>
    <row r="50" spans="1:17" s="1" customFormat="1" ht="18" customHeight="1" x14ac:dyDescent="0.2">
      <c r="A50" s="17"/>
      <c r="B50" s="482" t="s">
        <v>71</v>
      </c>
      <c r="C50" s="477" t="s">
        <v>47</v>
      </c>
      <c r="D50" s="478"/>
      <c r="E50" s="176">
        <f>E51+E52+E53</f>
        <v>0</v>
      </c>
      <c r="F50" s="176">
        <f>F51+F52+F53</f>
        <v>0</v>
      </c>
      <c r="G50" s="176">
        <f>G51+G52+G53</f>
        <v>0</v>
      </c>
      <c r="H50" s="175">
        <v>0</v>
      </c>
      <c r="I50" s="13"/>
      <c r="J50" s="479" t="s">
        <v>57</v>
      </c>
      <c r="K50" s="508" t="s">
        <v>58</v>
      </c>
      <c r="L50" s="508"/>
      <c r="M50" s="156">
        <f>M51+M52+M53</f>
        <v>0</v>
      </c>
      <c r="N50" s="156">
        <v>0</v>
      </c>
      <c r="O50" s="156">
        <f>O51+O52+O53</f>
        <v>0</v>
      </c>
      <c r="P50" s="175">
        <v>0</v>
      </c>
      <c r="Q50" s="101"/>
    </row>
    <row r="51" spans="1:17" s="1" customFormat="1" ht="18" customHeight="1" x14ac:dyDescent="0.2">
      <c r="A51" s="17"/>
      <c r="B51" s="483"/>
      <c r="C51" s="19" t="s">
        <v>1</v>
      </c>
      <c r="D51" s="20" t="s">
        <v>10</v>
      </c>
      <c r="E51" s="177">
        <v>0</v>
      </c>
      <c r="F51" s="177">
        <v>0</v>
      </c>
      <c r="G51" s="157">
        <v>0</v>
      </c>
      <c r="H51" s="178">
        <v>0</v>
      </c>
      <c r="I51" s="13"/>
      <c r="J51" s="480"/>
      <c r="K51" s="19" t="s">
        <v>1</v>
      </c>
      <c r="L51" s="20" t="s">
        <v>10</v>
      </c>
      <c r="M51" s="157">
        <v>0</v>
      </c>
      <c r="N51" s="157">
        <v>0</v>
      </c>
      <c r="O51" s="157">
        <v>0</v>
      </c>
      <c r="P51" s="178">
        <v>0</v>
      </c>
      <c r="Q51" s="101"/>
    </row>
    <row r="52" spans="1:17" s="1" customFormat="1" ht="18" customHeight="1" x14ac:dyDescent="0.2">
      <c r="A52" s="17"/>
      <c r="B52" s="483"/>
      <c r="C52" s="19" t="s">
        <v>2</v>
      </c>
      <c r="D52" s="20" t="s">
        <v>12</v>
      </c>
      <c r="E52" s="177">
        <v>0</v>
      </c>
      <c r="F52" s="177">
        <v>0</v>
      </c>
      <c r="G52" s="157">
        <v>0</v>
      </c>
      <c r="H52" s="178">
        <v>0</v>
      </c>
      <c r="I52" s="13"/>
      <c r="J52" s="480"/>
      <c r="K52" s="19" t="s">
        <v>2</v>
      </c>
      <c r="L52" s="20" t="s">
        <v>12</v>
      </c>
      <c r="M52" s="157">
        <v>0</v>
      </c>
      <c r="N52" s="157">
        <v>0</v>
      </c>
      <c r="O52" s="157">
        <v>0</v>
      </c>
      <c r="P52" s="178">
        <v>0</v>
      </c>
      <c r="Q52" s="101"/>
    </row>
    <row r="53" spans="1:17" s="1" customFormat="1" ht="18" customHeight="1" x14ac:dyDescent="0.2">
      <c r="A53" s="18"/>
      <c r="B53" s="484"/>
      <c r="C53" s="19" t="s">
        <v>4</v>
      </c>
      <c r="D53" s="20" t="s">
        <v>11</v>
      </c>
      <c r="E53" s="177">
        <v>0</v>
      </c>
      <c r="F53" s="177">
        <v>0</v>
      </c>
      <c r="G53" s="157">
        <v>0</v>
      </c>
      <c r="H53" s="178">
        <v>0</v>
      </c>
      <c r="I53" s="12"/>
      <c r="J53" s="481"/>
      <c r="K53" s="19" t="s">
        <v>4</v>
      </c>
      <c r="L53" s="20" t="s">
        <v>11</v>
      </c>
      <c r="M53" s="157">
        <v>0</v>
      </c>
      <c r="N53" s="157">
        <v>0</v>
      </c>
      <c r="O53" s="157">
        <v>0</v>
      </c>
      <c r="P53" s="178">
        <v>0</v>
      </c>
      <c r="Q53" s="101"/>
    </row>
    <row r="54" spans="1:17" s="1" customFormat="1" ht="18" customHeight="1" x14ac:dyDescent="0.2">
      <c r="A54" s="22" t="s">
        <v>3</v>
      </c>
      <c r="B54" s="527" t="s">
        <v>25</v>
      </c>
      <c r="C54" s="528"/>
      <c r="D54" s="529"/>
      <c r="E54" s="183">
        <f>E55+E56+E57</f>
        <v>13274803</v>
      </c>
      <c r="F54" s="183">
        <f>F55+F56+F57</f>
        <v>2664000</v>
      </c>
      <c r="G54" s="183">
        <f>G55+G56+G57</f>
        <v>0</v>
      </c>
      <c r="H54" s="220">
        <f>+G54/F54*100</f>
        <v>0</v>
      </c>
      <c r="I54" s="23" t="s">
        <v>3</v>
      </c>
      <c r="J54" s="527" t="s">
        <v>18</v>
      </c>
      <c r="K54" s="528"/>
      <c r="L54" s="529"/>
      <c r="M54" s="171">
        <f>M55+M56+M57</f>
        <v>228061020</v>
      </c>
      <c r="N54" s="171">
        <f>N55+N56+N57</f>
        <v>241778344</v>
      </c>
      <c r="O54" s="171">
        <f>O55+O56+O57</f>
        <v>155962426</v>
      </c>
      <c r="P54" s="382">
        <f>O54/N54*100</f>
        <v>64.506367038397784</v>
      </c>
      <c r="Q54" s="101"/>
    </row>
    <row r="55" spans="1:17" s="1" customFormat="1" ht="18" customHeight="1" x14ac:dyDescent="0.2">
      <c r="A55" s="24"/>
      <c r="B55" s="522" t="s">
        <v>74</v>
      </c>
      <c r="C55" s="25" t="s">
        <v>1</v>
      </c>
      <c r="D55" s="26" t="s">
        <v>10</v>
      </c>
      <c r="E55" s="181">
        <f t="shared" ref="E55:G57" si="12">E43+E47+E51</f>
        <v>13274803</v>
      </c>
      <c r="F55" s="181">
        <f t="shared" si="12"/>
        <v>2664000</v>
      </c>
      <c r="G55" s="181">
        <f>G43+G47+G51</f>
        <v>0</v>
      </c>
      <c r="H55" s="221">
        <f t="shared" ref="H55" si="13">+G55/F55*100</f>
        <v>0</v>
      </c>
      <c r="I55" s="28"/>
      <c r="J55" s="558" t="s">
        <v>59</v>
      </c>
      <c r="K55" s="25" t="s">
        <v>1</v>
      </c>
      <c r="L55" s="26" t="s">
        <v>10</v>
      </c>
      <c r="M55" s="173">
        <f t="shared" ref="M55:P57" si="14">M43+M47+M51</f>
        <v>228061020</v>
      </c>
      <c r="N55" s="173">
        <f t="shared" si="14"/>
        <v>241778344</v>
      </c>
      <c r="O55" s="173">
        <f t="shared" si="14"/>
        <v>155962426</v>
      </c>
      <c r="P55" s="227">
        <f>O55/N55*100</f>
        <v>64.506367038397784</v>
      </c>
      <c r="Q55" s="101"/>
    </row>
    <row r="56" spans="1:17" s="1" customFormat="1" ht="18" customHeight="1" x14ac:dyDescent="0.2">
      <c r="A56" s="24"/>
      <c r="B56" s="523"/>
      <c r="C56" s="25" t="s">
        <v>2</v>
      </c>
      <c r="D56" s="26" t="s">
        <v>12</v>
      </c>
      <c r="E56" s="181">
        <f t="shared" si="12"/>
        <v>0</v>
      </c>
      <c r="F56" s="181">
        <f t="shared" si="12"/>
        <v>0</v>
      </c>
      <c r="G56" s="181">
        <f t="shared" si="12"/>
        <v>0</v>
      </c>
      <c r="H56" s="221">
        <v>0</v>
      </c>
      <c r="I56" s="28"/>
      <c r="J56" s="558"/>
      <c r="K56" s="25" t="s">
        <v>2</v>
      </c>
      <c r="L56" s="26" t="s">
        <v>12</v>
      </c>
      <c r="M56" s="173">
        <f t="shared" si="14"/>
        <v>0</v>
      </c>
      <c r="N56" s="173">
        <f t="shared" si="14"/>
        <v>0</v>
      </c>
      <c r="O56" s="173">
        <f t="shared" si="14"/>
        <v>0</v>
      </c>
      <c r="P56" s="227">
        <f t="shared" si="14"/>
        <v>0</v>
      </c>
      <c r="Q56" s="101"/>
    </row>
    <row r="57" spans="1:17" s="1" customFormat="1" ht="18" customHeight="1" x14ac:dyDescent="0.2">
      <c r="A57" s="24"/>
      <c r="B57" s="523"/>
      <c r="C57" s="30" t="s">
        <v>4</v>
      </c>
      <c r="D57" s="31" t="s">
        <v>11</v>
      </c>
      <c r="E57" s="173">
        <f t="shared" si="12"/>
        <v>0</v>
      </c>
      <c r="F57" s="173">
        <f t="shared" si="12"/>
        <v>0</v>
      </c>
      <c r="G57" s="173">
        <f t="shared" si="12"/>
        <v>0</v>
      </c>
      <c r="H57" s="221">
        <v>0</v>
      </c>
      <c r="I57" s="28"/>
      <c r="J57" s="559"/>
      <c r="K57" s="30" t="s">
        <v>4</v>
      </c>
      <c r="L57" s="31" t="s">
        <v>11</v>
      </c>
      <c r="M57" s="188">
        <f t="shared" si="14"/>
        <v>0</v>
      </c>
      <c r="N57" s="188">
        <f t="shared" si="14"/>
        <v>0</v>
      </c>
      <c r="O57" s="188">
        <f t="shared" si="14"/>
        <v>0</v>
      </c>
      <c r="P57" s="228">
        <f t="shared" si="14"/>
        <v>0</v>
      </c>
      <c r="Q57" s="101"/>
    </row>
    <row r="58" spans="1:17" s="39" customFormat="1" ht="31.5" customHeight="1" thickBot="1" x14ac:dyDescent="0.25">
      <c r="A58" s="513" t="s">
        <v>91</v>
      </c>
      <c r="B58" s="514"/>
      <c r="C58" s="514"/>
      <c r="D58" s="514"/>
      <c r="E58" s="329">
        <f>M54-E54</f>
        <v>214786217</v>
      </c>
      <c r="F58" s="329">
        <f>+N54-F54</f>
        <v>239114344</v>
      </c>
      <c r="G58" s="329">
        <f>O54-G54</f>
        <v>155962426</v>
      </c>
      <c r="H58" s="329"/>
      <c r="I58" s="513" t="s">
        <v>92</v>
      </c>
      <c r="J58" s="514"/>
      <c r="K58" s="514"/>
      <c r="L58" s="514"/>
      <c r="M58" s="325"/>
      <c r="N58" s="338"/>
      <c r="O58" s="327"/>
      <c r="P58" s="331"/>
      <c r="Q58" s="104"/>
    </row>
    <row r="59" spans="1:17" s="1" customFormat="1" ht="18" customHeight="1" x14ac:dyDescent="0.2">
      <c r="A59" s="32" t="s">
        <v>34</v>
      </c>
      <c r="B59" s="469" t="s">
        <v>35</v>
      </c>
      <c r="C59" s="470"/>
      <c r="D59" s="471"/>
      <c r="E59" s="187">
        <f>E60+E61+E62</f>
        <v>1079957678</v>
      </c>
      <c r="F59" s="187">
        <f>F60+F61+F62</f>
        <v>1080513767</v>
      </c>
      <c r="G59" s="187">
        <f>G60+G61+G62</f>
        <v>869574776</v>
      </c>
      <c r="H59" s="222">
        <f>+G59/F59*100</f>
        <v>80.47789880681826</v>
      </c>
      <c r="I59" s="32" t="s">
        <v>34</v>
      </c>
      <c r="J59" s="475" t="s">
        <v>37</v>
      </c>
      <c r="K59" s="476"/>
      <c r="L59" s="476"/>
      <c r="M59" s="187">
        <f>M60+M61+M62</f>
        <v>903823897</v>
      </c>
      <c r="N59" s="187">
        <f>N60+N61+N62</f>
        <v>1389976803</v>
      </c>
      <c r="O59" s="187">
        <f>O60+O61+O62</f>
        <v>808228127</v>
      </c>
      <c r="P59" s="229">
        <f>+O59/N59*100</f>
        <v>58.146878800825576</v>
      </c>
      <c r="Q59" s="101"/>
    </row>
    <row r="60" spans="1:17" s="1" customFormat="1" ht="18" customHeight="1" x14ac:dyDescent="0.2">
      <c r="A60" s="24"/>
      <c r="B60" s="519" t="s">
        <v>76</v>
      </c>
      <c r="C60" s="25" t="s">
        <v>1</v>
      </c>
      <c r="D60" s="26" t="s">
        <v>10</v>
      </c>
      <c r="E60" s="188">
        <f t="shared" ref="E60:G62" si="15">E36+E55</f>
        <v>1079957678</v>
      </c>
      <c r="F60" s="188">
        <f>F36+F55</f>
        <v>1080513767</v>
      </c>
      <c r="G60" s="188">
        <f>G36+G55</f>
        <v>869574776</v>
      </c>
      <c r="H60" s="223">
        <f t="shared" ref="H60" si="16">+G60/F60*100</f>
        <v>80.47789880681826</v>
      </c>
      <c r="I60" s="466"/>
      <c r="J60" s="468" t="s">
        <v>75</v>
      </c>
      <c r="K60" s="25" t="s">
        <v>1</v>
      </c>
      <c r="L60" s="26" t="s">
        <v>10</v>
      </c>
      <c r="M60" s="188">
        <f t="shared" ref="M60:P62" si="17">M36+M55</f>
        <v>895895853</v>
      </c>
      <c r="N60" s="188">
        <f>N36+N55</f>
        <v>1376028461</v>
      </c>
      <c r="O60" s="188">
        <f t="shared" si="17"/>
        <v>801315627</v>
      </c>
      <c r="P60" s="228">
        <f>+O60/N60*100</f>
        <v>58.233942807960574</v>
      </c>
      <c r="Q60" s="101"/>
    </row>
    <row r="61" spans="1:17" s="1" customFormat="1" ht="18" customHeight="1" x14ac:dyDescent="0.2">
      <c r="A61" s="24"/>
      <c r="B61" s="520"/>
      <c r="C61" s="25" t="s">
        <v>2</v>
      </c>
      <c r="D61" s="26" t="s">
        <v>12</v>
      </c>
      <c r="E61" s="188">
        <f t="shared" si="15"/>
        <v>0</v>
      </c>
      <c r="F61" s="188">
        <f t="shared" si="15"/>
        <v>0</v>
      </c>
      <c r="G61" s="188">
        <f>G37+G56</f>
        <v>0</v>
      </c>
      <c r="H61" s="223">
        <v>0</v>
      </c>
      <c r="I61" s="466"/>
      <c r="J61" s="468"/>
      <c r="K61" s="25" t="s">
        <v>2</v>
      </c>
      <c r="L61" s="26" t="s">
        <v>12</v>
      </c>
      <c r="M61" s="188">
        <f t="shared" si="17"/>
        <v>7928044</v>
      </c>
      <c r="N61" s="188">
        <f>N37+N56</f>
        <v>13948342</v>
      </c>
      <c r="O61" s="188">
        <f t="shared" si="17"/>
        <v>6912500</v>
      </c>
      <c r="P61" s="228">
        <f>+O61/N61*100</f>
        <v>49.557861428978441</v>
      </c>
      <c r="Q61" s="101"/>
    </row>
    <row r="62" spans="1:17" s="1" customFormat="1" ht="18" customHeight="1" x14ac:dyDescent="0.2">
      <c r="A62" s="27"/>
      <c r="B62" s="521"/>
      <c r="C62" s="25" t="s">
        <v>4</v>
      </c>
      <c r="D62" s="26" t="s">
        <v>11</v>
      </c>
      <c r="E62" s="173">
        <f t="shared" si="15"/>
        <v>0</v>
      </c>
      <c r="F62" s="173">
        <f t="shared" si="15"/>
        <v>0</v>
      </c>
      <c r="G62" s="188">
        <f t="shared" si="15"/>
        <v>0</v>
      </c>
      <c r="H62" s="223">
        <v>0</v>
      </c>
      <c r="I62" s="467"/>
      <c r="J62" s="468"/>
      <c r="K62" s="25" t="s">
        <v>4</v>
      </c>
      <c r="L62" s="26" t="s">
        <v>11</v>
      </c>
      <c r="M62" s="173">
        <f t="shared" si="17"/>
        <v>0</v>
      </c>
      <c r="N62" s="173">
        <f>N38+N57</f>
        <v>0</v>
      </c>
      <c r="O62" s="173">
        <f t="shared" si="17"/>
        <v>0</v>
      </c>
      <c r="P62" s="227">
        <f t="shared" si="17"/>
        <v>0</v>
      </c>
      <c r="Q62" s="101"/>
    </row>
    <row r="63" spans="1:17" s="9" customFormat="1" ht="30" customHeight="1" thickBot="1" x14ac:dyDescent="0.25">
      <c r="A63" s="472" t="s">
        <v>63</v>
      </c>
      <c r="B63" s="473"/>
      <c r="C63" s="473"/>
      <c r="D63" s="474"/>
      <c r="E63" s="333"/>
      <c r="F63" s="339">
        <f>N59-F59</f>
        <v>309463036</v>
      </c>
      <c r="G63" s="334"/>
      <c r="H63" s="340"/>
      <c r="I63" s="472" t="s">
        <v>64</v>
      </c>
      <c r="J63" s="473"/>
      <c r="K63" s="473"/>
      <c r="L63" s="474"/>
      <c r="M63" s="333">
        <f>E59-M59</f>
        <v>176133781</v>
      </c>
      <c r="N63" s="333"/>
      <c r="O63" s="341">
        <f>G59-O59</f>
        <v>61346649</v>
      </c>
      <c r="P63" s="342"/>
      <c r="Q63" s="102"/>
    </row>
    <row r="64" spans="1:17" s="1" customFormat="1" ht="18" customHeight="1" x14ac:dyDescent="0.2">
      <c r="A64" s="58" t="s">
        <v>38</v>
      </c>
      <c r="B64" s="515" t="s">
        <v>36</v>
      </c>
      <c r="C64" s="516"/>
      <c r="D64" s="517"/>
      <c r="E64" s="189">
        <f>E65+E66</f>
        <v>894884225</v>
      </c>
      <c r="F64" s="189">
        <f>F65+F66</f>
        <v>765182621</v>
      </c>
      <c r="G64" s="189">
        <f>G65+G66</f>
        <v>765182621</v>
      </c>
      <c r="H64" s="194">
        <f>+G64/F64*100</f>
        <v>100</v>
      </c>
      <c r="I64" s="59" t="s">
        <v>38</v>
      </c>
      <c r="J64" s="548" t="s">
        <v>48</v>
      </c>
      <c r="K64" s="549"/>
      <c r="L64" s="550"/>
      <c r="M64" s="230">
        <f>M65+M66</f>
        <v>318279385</v>
      </c>
      <c r="N64" s="230">
        <f>N65+N66</f>
        <v>455719585</v>
      </c>
      <c r="O64" s="230">
        <f>O65+O66</f>
        <v>353293210</v>
      </c>
      <c r="P64" s="231">
        <f>+O64/N64*100</f>
        <v>77.524254306516156</v>
      </c>
      <c r="Q64" s="101"/>
    </row>
    <row r="65" spans="1:17" s="1" customFormat="1" ht="18" customHeight="1" x14ac:dyDescent="0.2">
      <c r="A65" s="29"/>
      <c r="B65" s="464" t="s">
        <v>65</v>
      </c>
      <c r="C65" s="19" t="s">
        <v>1</v>
      </c>
      <c r="D65" s="20" t="s">
        <v>77</v>
      </c>
      <c r="E65" s="158">
        <v>882440225</v>
      </c>
      <c r="F65" s="158">
        <v>752738621</v>
      </c>
      <c r="G65" s="158">
        <v>752738621</v>
      </c>
      <c r="H65" s="160">
        <f t="shared" ref="H65:H68" si="18">+G65/F65*100</f>
        <v>100</v>
      </c>
      <c r="I65" s="60"/>
      <c r="J65" s="464" t="s">
        <v>60</v>
      </c>
      <c r="K65" s="19" t="s">
        <v>1</v>
      </c>
      <c r="L65" s="20" t="s">
        <v>80</v>
      </c>
      <c r="M65" s="159">
        <v>305835385</v>
      </c>
      <c r="N65" s="158">
        <v>430831585</v>
      </c>
      <c r="O65" s="159">
        <v>340849210</v>
      </c>
      <c r="P65" s="232">
        <f t="shared" ref="P65:P66" si="19">+O65/N65*100</f>
        <v>79.114257604859688</v>
      </c>
      <c r="Q65" s="101"/>
    </row>
    <row r="66" spans="1:17" s="1" customFormat="1" ht="18" customHeight="1" x14ac:dyDescent="0.2">
      <c r="A66" s="29"/>
      <c r="B66" s="465"/>
      <c r="C66" s="19" t="s">
        <v>2</v>
      </c>
      <c r="D66" s="20" t="s">
        <v>78</v>
      </c>
      <c r="E66" s="158">
        <v>12444000</v>
      </c>
      <c r="F66" s="158">
        <v>12444000</v>
      </c>
      <c r="G66" s="158">
        <v>12444000</v>
      </c>
      <c r="H66" s="160">
        <f>G66/F66*100</f>
        <v>100</v>
      </c>
      <c r="I66" s="60"/>
      <c r="J66" s="465"/>
      <c r="K66" s="19" t="s">
        <v>2</v>
      </c>
      <c r="L66" s="34" t="s">
        <v>79</v>
      </c>
      <c r="M66" s="158">
        <v>12444000</v>
      </c>
      <c r="N66" s="158">
        <v>24888000</v>
      </c>
      <c r="O66" s="158">
        <v>12444000</v>
      </c>
      <c r="P66" s="232">
        <f t="shared" si="19"/>
        <v>50</v>
      </c>
      <c r="Q66" s="101"/>
    </row>
    <row r="67" spans="1:17" s="7" customFormat="1" ht="18" customHeight="1" x14ac:dyDescent="0.2">
      <c r="A67" s="348" t="s">
        <v>39</v>
      </c>
      <c r="B67" s="490" t="s">
        <v>28</v>
      </c>
      <c r="C67" s="491"/>
      <c r="D67" s="492"/>
      <c r="E67" s="349">
        <f>E68+E69+E70</f>
        <v>1974841903</v>
      </c>
      <c r="F67" s="349">
        <f>F68+F69+F70</f>
        <v>1845696388</v>
      </c>
      <c r="G67" s="349">
        <f>G68+G69+G70</f>
        <v>1634757397</v>
      </c>
      <c r="H67" s="350">
        <f t="shared" si="18"/>
        <v>88.5713060733367</v>
      </c>
      <c r="I67" s="369" t="s">
        <v>39</v>
      </c>
      <c r="J67" s="490" t="s">
        <v>29</v>
      </c>
      <c r="K67" s="491"/>
      <c r="L67" s="492"/>
      <c r="M67" s="349">
        <f>M68+M69+M70</f>
        <v>1222103282</v>
      </c>
      <c r="N67" s="349">
        <f>N68+N69+N70</f>
        <v>1845696388</v>
      </c>
      <c r="O67" s="349">
        <f>O68+O69+O70</f>
        <v>1161521337</v>
      </c>
      <c r="P67" s="352">
        <f>+O67/N67*100</f>
        <v>62.931332831973876</v>
      </c>
      <c r="Q67" s="102"/>
    </row>
    <row r="68" spans="1:17" s="7" customFormat="1" ht="18" customHeight="1" x14ac:dyDescent="0.2">
      <c r="A68" s="353"/>
      <c r="B68" s="524" t="s">
        <v>62</v>
      </c>
      <c r="C68" s="354" t="s">
        <v>1</v>
      </c>
      <c r="D68" s="355" t="s">
        <v>10</v>
      </c>
      <c r="E68" s="356">
        <f>E60+E65+E66</f>
        <v>1974841903</v>
      </c>
      <c r="F68" s="356">
        <f>F60+F65+F66</f>
        <v>1845696388</v>
      </c>
      <c r="G68" s="356">
        <f>G60+G65+G66</f>
        <v>1634757397</v>
      </c>
      <c r="H68" s="357">
        <f t="shared" si="18"/>
        <v>88.5713060733367</v>
      </c>
      <c r="I68" s="370"/>
      <c r="J68" s="524" t="s">
        <v>61</v>
      </c>
      <c r="K68" s="354" t="s">
        <v>1</v>
      </c>
      <c r="L68" s="355" t="s">
        <v>10</v>
      </c>
      <c r="M68" s="356">
        <f>M60+M65+M66</f>
        <v>1214175238</v>
      </c>
      <c r="N68" s="356">
        <f>N60+N65+N66</f>
        <v>1831748046</v>
      </c>
      <c r="O68" s="356">
        <f>O60+O65+O66</f>
        <v>1154608837</v>
      </c>
      <c r="P68" s="360">
        <f t="shared" ref="P68:P69" si="20">+O68/N68*100</f>
        <v>63.033168754912928</v>
      </c>
      <c r="Q68" s="102"/>
    </row>
    <row r="69" spans="1:17" s="7" customFormat="1" ht="18" customHeight="1" x14ac:dyDescent="0.2">
      <c r="A69" s="353"/>
      <c r="B69" s="525"/>
      <c r="C69" s="354" t="s">
        <v>2</v>
      </c>
      <c r="D69" s="355" t="s">
        <v>12</v>
      </c>
      <c r="E69" s="356">
        <f>E61</f>
        <v>0</v>
      </c>
      <c r="F69" s="356">
        <f>F61</f>
        <v>0</v>
      </c>
      <c r="G69" s="356">
        <f>G61</f>
        <v>0</v>
      </c>
      <c r="H69" s="357">
        <v>0</v>
      </c>
      <c r="I69" s="370"/>
      <c r="J69" s="525"/>
      <c r="K69" s="354" t="s">
        <v>2</v>
      </c>
      <c r="L69" s="355" t="s">
        <v>12</v>
      </c>
      <c r="M69" s="356">
        <f t="shared" ref="M69:O70" si="21">M61</f>
        <v>7928044</v>
      </c>
      <c r="N69" s="356">
        <f t="shared" si="21"/>
        <v>13948342</v>
      </c>
      <c r="O69" s="356">
        <f t="shared" si="21"/>
        <v>6912500</v>
      </c>
      <c r="P69" s="360">
        <f t="shared" si="20"/>
        <v>49.557861428978441</v>
      </c>
      <c r="Q69" s="102"/>
    </row>
    <row r="70" spans="1:17" s="7" customFormat="1" ht="18" customHeight="1" thickBot="1" x14ac:dyDescent="0.25">
      <c r="A70" s="361"/>
      <c r="B70" s="526"/>
      <c r="C70" s="362" t="s">
        <v>4</v>
      </c>
      <c r="D70" s="363" t="s">
        <v>11</v>
      </c>
      <c r="E70" s="364">
        <f t="shared" ref="E70:G70" si="22">E62</f>
        <v>0</v>
      </c>
      <c r="F70" s="364">
        <f t="shared" si="22"/>
        <v>0</v>
      </c>
      <c r="G70" s="364">
        <f t="shared" si="22"/>
        <v>0</v>
      </c>
      <c r="H70" s="371">
        <v>0</v>
      </c>
      <c r="I70" s="372"/>
      <c r="J70" s="526"/>
      <c r="K70" s="362" t="s">
        <v>4</v>
      </c>
      <c r="L70" s="363" t="s">
        <v>11</v>
      </c>
      <c r="M70" s="364">
        <f t="shared" si="21"/>
        <v>0</v>
      </c>
      <c r="N70" s="364">
        <f t="shared" si="21"/>
        <v>0</v>
      </c>
      <c r="O70" s="364">
        <f t="shared" si="21"/>
        <v>0</v>
      </c>
      <c r="P70" s="368">
        <v>0</v>
      </c>
      <c r="Q70" s="102"/>
    </row>
    <row r="72" spans="1:17" x14ac:dyDescent="0.25">
      <c r="F72" s="98"/>
      <c r="N72" s="98"/>
    </row>
    <row r="73" spans="1:17" x14ac:dyDescent="0.25">
      <c r="A73" s="509"/>
      <c r="B73" s="509"/>
      <c r="C73" s="509"/>
      <c r="D73" s="509"/>
      <c r="E73" s="509"/>
      <c r="F73" s="99"/>
      <c r="G73" s="15"/>
      <c r="H73" s="15"/>
      <c r="N73" s="98"/>
      <c r="O73" s="15"/>
      <c r="P73" s="15"/>
    </row>
    <row r="74" spans="1:17" x14ac:dyDescent="0.25">
      <c r="F74" s="98"/>
      <c r="N74" s="98"/>
    </row>
    <row r="75" spans="1:17" x14ac:dyDescent="0.25">
      <c r="F75" s="98"/>
      <c r="N75" s="98"/>
    </row>
  </sheetData>
  <sheetProtection formatCells="0"/>
  <mergeCells count="78">
    <mergeCell ref="B68:B70"/>
    <mergeCell ref="J68:J70"/>
    <mergeCell ref="A73:E73"/>
    <mergeCell ref="A3:P3"/>
    <mergeCell ref="A4:P4"/>
    <mergeCell ref="A5:P5"/>
    <mergeCell ref="A6:P6"/>
    <mergeCell ref="A7:P7"/>
    <mergeCell ref="B64:D64"/>
    <mergeCell ref="J64:L64"/>
    <mergeCell ref="B65:B66"/>
    <mergeCell ref="J65:J66"/>
    <mergeCell ref="B67:D67"/>
    <mergeCell ref="J67:L67"/>
    <mergeCell ref="B59:D59"/>
    <mergeCell ref="J59:L59"/>
    <mergeCell ref="B60:B62"/>
    <mergeCell ref="I60:I62"/>
    <mergeCell ref="J60:J62"/>
    <mergeCell ref="A63:D63"/>
    <mergeCell ref="I63:L63"/>
    <mergeCell ref="B54:D54"/>
    <mergeCell ref="J54:L54"/>
    <mergeCell ref="B55:B57"/>
    <mergeCell ref="J55:J57"/>
    <mergeCell ref="A58:D58"/>
    <mergeCell ref="I58:L58"/>
    <mergeCell ref="B46:B49"/>
    <mergeCell ref="C46:D46"/>
    <mergeCell ref="J46:J49"/>
    <mergeCell ref="K46:L46"/>
    <mergeCell ref="B50:B53"/>
    <mergeCell ref="C50:D50"/>
    <mergeCell ref="J50:J53"/>
    <mergeCell ref="K50:L50"/>
    <mergeCell ref="A40:P40"/>
    <mergeCell ref="B41:D41"/>
    <mergeCell ref="J41:L41"/>
    <mergeCell ref="B42:B45"/>
    <mergeCell ref="C42:D42"/>
    <mergeCell ref="J42:J45"/>
    <mergeCell ref="K42:L42"/>
    <mergeCell ref="A39:D39"/>
    <mergeCell ref="I39:L39"/>
    <mergeCell ref="B25:B28"/>
    <mergeCell ref="C25:D25"/>
    <mergeCell ref="J25:J28"/>
    <mergeCell ref="K25:L25"/>
    <mergeCell ref="A29:H34"/>
    <mergeCell ref="J29:J34"/>
    <mergeCell ref="K29:L29"/>
    <mergeCell ref="B35:D35"/>
    <mergeCell ref="J35:L35"/>
    <mergeCell ref="B36:B38"/>
    <mergeCell ref="I36:I38"/>
    <mergeCell ref="J36:J38"/>
    <mergeCell ref="B17:B20"/>
    <mergeCell ref="C17:D17"/>
    <mergeCell ref="J17:J20"/>
    <mergeCell ref="K17:L17"/>
    <mergeCell ref="B21:B24"/>
    <mergeCell ref="C21:D21"/>
    <mergeCell ref="J21:J24"/>
    <mergeCell ref="K21:L21"/>
    <mergeCell ref="A11:P11"/>
    <mergeCell ref="B12:D12"/>
    <mergeCell ref="J12:L12"/>
    <mergeCell ref="B13:B16"/>
    <mergeCell ref="C13:D13"/>
    <mergeCell ref="J13:J16"/>
    <mergeCell ref="K13:L13"/>
    <mergeCell ref="L1:P1"/>
    <mergeCell ref="D8:L8"/>
    <mergeCell ref="A9:H9"/>
    <mergeCell ref="I9:P9"/>
    <mergeCell ref="C10:D10"/>
    <mergeCell ref="K10:L10"/>
    <mergeCell ref="L2:P2"/>
  </mergeCells>
  <printOptions horizontalCentered="1"/>
  <pageMargins left="0.19685039370078741" right="0.19685039370078741" top="3.937007874015748E-2" bottom="0" header="0.43307086614173229" footer="0.51181102362204722"/>
  <pageSetup paperSize="9" scale="70" orientation="landscape" r:id="rId1"/>
  <headerFooter alignWithMargins="0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Q73"/>
  <sheetViews>
    <sheetView topLeftCell="A49" zoomScaleNormal="100" workbookViewId="0">
      <selection activeCell="R73" sqref="R73"/>
    </sheetView>
  </sheetViews>
  <sheetFormatPr defaultRowHeight="15.75" x14ac:dyDescent="0.25"/>
  <cols>
    <col min="1" max="1" width="5.5703125" style="15" customWidth="1"/>
    <col min="2" max="2" width="4.28515625" style="15" customWidth="1"/>
    <col min="3" max="3" width="3.7109375" style="3" customWidth="1"/>
    <col min="4" max="4" width="37.7109375" style="3" customWidth="1"/>
    <col min="5" max="7" width="13.7109375" style="5" customWidth="1"/>
    <col min="8" max="8" width="7.7109375" style="5" customWidth="1"/>
    <col min="9" max="9" width="6.5703125" style="11" customWidth="1"/>
    <col min="10" max="10" width="4.28515625" style="11" customWidth="1"/>
    <col min="11" max="11" width="3.7109375" style="11" customWidth="1"/>
    <col min="12" max="12" width="37.7109375" style="3" customWidth="1"/>
    <col min="13" max="15" width="13.7109375" style="5" customWidth="1"/>
    <col min="16" max="16" width="7.7109375" style="62" customWidth="1"/>
    <col min="17" max="17" width="9.140625" style="8"/>
    <col min="18" max="16384" width="9.140625" style="3"/>
  </cols>
  <sheetData>
    <row r="1" spans="1:17" x14ac:dyDescent="0.25">
      <c r="L1" s="493" t="s">
        <v>258</v>
      </c>
      <c r="M1" s="493"/>
      <c r="N1" s="493"/>
      <c r="O1" s="493"/>
      <c r="P1" s="493"/>
    </row>
    <row r="2" spans="1:17" x14ac:dyDescent="0.25">
      <c r="L2" s="493"/>
      <c r="M2" s="493"/>
      <c r="N2" s="493"/>
      <c r="O2" s="493"/>
      <c r="P2" s="493"/>
    </row>
    <row r="3" spans="1:17" ht="15.95" customHeight="1" x14ac:dyDescent="0.25">
      <c r="A3" s="551" t="s">
        <v>239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8" t="s">
        <v>33</v>
      </c>
    </row>
    <row r="4" spans="1:17" ht="15.95" customHeight="1" x14ac:dyDescent="0.25">
      <c r="A4" s="551" t="s">
        <v>26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1:17" ht="15.95" customHeight="1" x14ac:dyDescent="0.25">
      <c r="A5" s="551" t="s">
        <v>44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</row>
    <row r="6" spans="1:17" ht="15.95" customHeight="1" x14ac:dyDescent="0.25">
      <c r="A6" s="551" t="s">
        <v>257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</row>
    <row r="7" spans="1:17" ht="15.95" customHeight="1" x14ac:dyDescent="0.25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</row>
    <row r="8" spans="1:17" ht="15.95" customHeight="1" thickBot="1" x14ac:dyDescent="0.35">
      <c r="D8" s="463"/>
      <c r="E8" s="463"/>
      <c r="F8" s="463"/>
      <c r="G8" s="463"/>
      <c r="H8" s="463"/>
      <c r="I8" s="463"/>
      <c r="J8" s="463"/>
      <c r="K8" s="463"/>
      <c r="L8" s="463"/>
      <c r="O8" s="3"/>
      <c r="P8" s="198" t="s">
        <v>201</v>
      </c>
    </row>
    <row r="9" spans="1:17" s="6" customFormat="1" ht="21.95" customHeight="1" x14ac:dyDescent="0.2">
      <c r="A9" s="505" t="s">
        <v>42</v>
      </c>
      <c r="B9" s="506"/>
      <c r="C9" s="506"/>
      <c r="D9" s="506"/>
      <c r="E9" s="506"/>
      <c r="F9" s="506"/>
      <c r="G9" s="506"/>
      <c r="H9" s="507"/>
      <c r="I9" s="505" t="s">
        <v>43</v>
      </c>
      <c r="J9" s="506"/>
      <c r="K9" s="506"/>
      <c r="L9" s="506"/>
      <c r="M9" s="506"/>
      <c r="N9" s="506"/>
      <c r="O9" s="506"/>
      <c r="P9" s="507"/>
      <c r="Q9" s="100"/>
    </row>
    <row r="10" spans="1:17" s="6" customFormat="1" ht="59.25" customHeight="1" thickBot="1" x14ac:dyDescent="0.25">
      <c r="A10" s="321" t="s">
        <v>83</v>
      </c>
      <c r="B10" s="322" t="s">
        <v>84</v>
      </c>
      <c r="C10" s="494"/>
      <c r="D10" s="495"/>
      <c r="E10" s="320" t="s">
        <v>213</v>
      </c>
      <c r="F10" s="323" t="s">
        <v>266</v>
      </c>
      <c r="G10" s="320" t="s">
        <v>267</v>
      </c>
      <c r="H10" s="324" t="s">
        <v>203</v>
      </c>
      <c r="I10" s="321" t="s">
        <v>83</v>
      </c>
      <c r="J10" s="322" t="s">
        <v>84</v>
      </c>
      <c r="K10" s="496"/>
      <c r="L10" s="497"/>
      <c r="M10" s="320" t="s">
        <v>213</v>
      </c>
      <c r="N10" s="323" t="s">
        <v>266</v>
      </c>
      <c r="O10" s="320" t="s">
        <v>267</v>
      </c>
      <c r="P10" s="324" t="s">
        <v>203</v>
      </c>
      <c r="Q10" s="100"/>
    </row>
    <row r="11" spans="1:17" s="1" customFormat="1" ht="18" customHeight="1" x14ac:dyDescent="0.2">
      <c r="A11" s="487" t="s">
        <v>41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9"/>
      <c r="Q11" s="101"/>
    </row>
    <row r="12" spans="1:17" s="2" customFormat="1" ht="18" customHeight="1" x14ac:dyDescent="0.2">
      <c r="A12" s="37" t="s">
        <v>0</v>
      </c>
      <c r="B12" s="548" t="s">
        <v>40</v>
      </c>
      <c r="C12" s="549"/>
      <c r="D12" s="550"/>
      <c r="E12" s="156">
        <f>E13+E17+E21+E25</f>
        <v>29040393</v>
      </c>
      <c r="F12" s="156">
        <f>F13+F17+F21+F25</f>
        <v>35764456</v>
      </c>
      <c r="G12" s="154">
        <f>G13+G17+G21+G25</f>
        <v>35764456</v>
      </c>
      <c r="H12" s="175">
        <f>+G12/F12*100</f>
        <v>100</v>
      </c>
      <c r="I12" s="38" t="s">
        <v>0</v>
      </c>
      <c r="J12" s="502" t="s">
        <v>20</v>
      </c>
      <c r="K12" s="503"/>
      <c r="L12" s="504"/>
      <c r="M12" s="153">
        <f>M13+M17+M21+M25+M29</f>
        <v>331440320</v>
      </c>
      <c r="N12" s="153">
        <f>N13+N17+N21+N25+N29</f>
        <v>482208576</v>
      </c>
      <c r="O12" s="154">
        <f>O13+O17+O21+O29+O25</f>
        <v>365030320</v>
      </c>
      <c r="P12" s="155">
        <f>+O12/N12*100</f>
        <v>75.699673993355105</v>
      </c>
      <c r="Q12" s="102"/>
    </row>
    <row r="13" spans="1:17" s="1" customFormat="1" ht="18" customHeight="1" x14ac:dyDescent="0.2">
      <c r="A13" s="17"/>
      <c r="B13" s="482" t="s">
        <v>54</v>
      </c>
      <c r="C13" s="533" t="s">
        <v>205</v>
      </c>
      <c r="D13" s="534"/>
      <c r="E13" s="176">
        <f>E14+E15+E16</f>
        <v>28541213</v>
      </c>
      <c r="F13" s="176">
        <f>F14+F15+F16</f>
        <v>34566660</v>
      </c>
      <c r="G13" s="156">
        <f>G14+G15+G16</f>
        <v>34566660</v>
      </c>
      <c r="H13" s="175">
        <f t="shared" ref="H13:H22" si="0">+G13/F13*100</f>
        <v>100</v>
      </c>
      <c r="I13" s="13"/>
      <c r="J13" s="479" t="s">
        <v>49</v>
      </c>
      <c r="K13" s="498" t="s">
        <v>16</v>
      </c>
      <c r="L13" s="498"/>
      <c r="M13" s="156">
        <f>M14+M15+M16</f>
        <v>254107496</v>
      </c>
      <c r="N13" s="156">
        <f>N14+N15+N16</f>
        <v>326716823</v>
      </c>
      <c r="O13" s="154">
        <f>O14+O15+O16</f>
        <v>274461312</v>
      </c>
      <c r="P13" s="155">
        <f t="shared" ref="P13:P36" si="1">+O13/N13*100</f>
        <v>84.005870735343194</v>
      </c>
      <c r="Q13" s="101"/>
    </row>
    <row r="14" spans="1:17" s="1" customFormat="1" ht="18" customHeight="1" x14ac:dyDescent="0.2">
      <c r="A14" s="17"/>
      <c r="B14" s="483"/>
      <c r="C14" s="19" t="s">
        <v>1</v>
      </c>
      <c r="D14" s="20" t="s">
        <v>10</v>
      </c>
      <c r="E14" s="157">
        <v>28541213</v>
      </c>
      <c r="F14" s="177">
        <v>34566660</v>
      </c>
      <c r="G14" s="157">
        <v>34566660</v>
      </c>
      <c r="H14" s="178">
        <f t="shared" si="0"/>
        <v>100</v>
      </c>
      <c r="I14" s="13"/>
      <c r="J14" s="480"/>
      <c r="K14" s="19" t="s">
        <v>1</v>
      </c>
      <c r="L14" s="20" t="s">
        <v>10</v>
      </c>
      <c r="M14" s="157">
        <v>254107496</v>
      </c>
      <c r="N14" s="158">
        <v>326716823</v>
      </c>
      <c r="O14" s="159">
        <v>274461312</v>
      </c>
      <c r="P14" s="160">
        <f t="shared" si="1"/>
        <v>84.005870735343194</v>
      </c>
      <c r="Q14" s="101"/>
    </row>
    <row r="15" spans="1:17" s="1" customFormat="1" ht="18" customHeight="1" x14ac:dyDescent="0.2">
      <c r="A15" s="17"/>
      <c r="B15" s="483"/>
      <c r="C15" s="19" t="s">
        <v>2</v>
      </c>
      <c r="D15" s="20" t="s">
        <v>12</v>
      </c>
      <c r="E15" s="177">
        <v>0</v>
      </c>
      <c r="F15" s="177">
        <v>0</v>
      </c>
      <c r="G15" s="157">
        <v>0</v>
      </c>
      <c r="H15" s="178">
        <v>0</v>
      </c>
      <c r="I15" s="13"/>
      <c r="J15" s="480"/>
      <c r="K15" s="19" t="s">
        <v>2</v>
      </c>
      <c r="L15" s="20" t="s">
        <v>12</v>
      </c>
      <c r="M15" s="157">
        <v>0</v>
      </c>
      <c r="N15" s="158">
        <v>0</v>
      </c>
      <c r="O15" s="159">
        <v>0</v>
      </c>
      <c r="P15" s="160">
        <v>0</v>
      </c>
      <c r="Q15" s="101"/>
    </row>
    <row r="16" spans="1:17" s="1" customFormat="1" ht="18" customHeight="1" x14ac:dyDescent="0.2">
      <c r="A16" s="17"/>
      <c r="B16" s="484"/>
      <c r="C16" s="19" t="s">
        <v>4</v>
      </c>
      <c r="D16" s="20" t="s">
        <v>11</v>
      </c>
      <c r="E16" s="218">
        <v>0</v>
      </c>
      <c r="F16" s="218">
        <v>0</v>
      </c>
      <c r="G16" s="216">
        <v>0</v>
      </c>
      <c r="H16" s="178">
        <v>0</v>
      </c>
      <c r="I16" s="13"/>
      <c r="J16" s="481"/>
      <c r="K16" s="19" t="s">
        <v>4</v>
      </c>
      <c r="L16" s="20" t="s">
        <v>11</v>
      </c>
      <c r="M16" s="157">
        <v>0</v>
      </c>
      <c r="N16" s="158">
        <v>0</v>
      </c>
      <c r="O16" s="159">
        <v>0</v>
      </c>
      <c r="P16" s="160">
        <v>0</v>
      </c>
      <c r="Q16" s="101"/>
    </row>
    <row r="17" spans="1:17" s="1" customFormat="1" ht="18" customHeight="1" x14ac:dyDescent="0.2">
      <c r="A17" s="17"/>
      <c r="B17" s="482" t="s">
        <v>67</v>
      </c>
      <c r="C17" s="499" t="s">
        <v>6</v>
      </c>
      <c r="D17" s="500"/>
      <c r="E17" s="219">
        <f>E18+E19+E20</f>
        <v>135000</v>
      </c>
      <c r="F17" s="219">
        <f>F18+F19+F20</f>
        <v>97000</v>
      </c>
      <c r="G17" s="217">
        <f>G18+G19+G20</f>
        <v>97000</v>
      </c>
      <c r="H17" s="175">
        <f t="shared" si="0"/>
        <v>100</v>
      </c>
      <c r="I17" s="13"/>
      <c r="J17" s="479" t="s">
        <v>50</v>
      </c>
      <c r="K17" s="501" t="s">
        <v>19</v>
      </c>
      <c r="L17" s="501"/>
      <c r="M17" s="217">
        <f>M18+M19+M20</f>
        <v>38447102</v>
      </c>
      <c r="N17" s="217">
        <f>N18+N19+N20</f>
        <v>50109699</v>
      </c>
      <c r="O17" s="215">
        <f>O18+O19+O20</f>
        <v>41702723</v>
      </c>
      <c r="P17" s="155">
        <f t="shared" si="1"/>
        <v>83.222856716820431</v>
      </c>
      <c r="Q17" s="101"/>
    </row>
    <row r="18" spans="1:17" s="1" customFormat="1" ht="18" customHeight="1" x14ac:dyDescent="0.2">
      <c r="A18" s="17"/>
      <c r="B18" s="483"/>
      <c r="C18" s="19" t="s">
        <v>1</v>
      </c>
      <c r="D18" s="20" t="s">
        <v>10</v>
      </c>
      <c r="E18" s="218">
        <v>0</v>
      </c>
      <c r="F18" s="218">
        <v>0</v>
      </c>
      <c r="G18" s="216">
        <v>0</v>
      </c>
      <c r="H18" s="178">
        <v>0</v>
      </c>
      <c r="I18" s="13"/>
      <c r="J18" s="480"/>
      <c r="K18" s="19" t="s">
        <v>1</v>
      </c>
      <c r="L18" s="20" t="s">
        <v>10</v>
      </c>
      <c r="M18" s="216">
        <v>38447102</v>
      </c>
      <c r="N18" s="159">
        <v>50109699</v>
      </c>
      <c r="O18" s="159">
        <v>41702723</v>
      </c>
      <c r="P18" s="160">
        <f t="shared" si="1"/>
        <v>83.222856716820431</v>
      </c>
      <c r="Q18" s="101"/>
    </row>
    <row r="19" spans="1:17" s="1" customFormat="1" ht="18" customHeight="1" x14ac:dyDescent="0.2">
      <c r="A19" s="17"/>
      <c r="B19" s="483"/>
      <c r="C19" s="19" t="s">
        <v>2</v>
      </c>
      <c r="D19" s="20" t="s">
        <v>12</v>
      </c>
      <c r="E19" s="218">
        <v>0</v>
      </c>
      <c r="F19" s="218">
        <v>0</v>
      </c>
      <c r="G19" s="216">
        <v>0</v>
      </c>
      <c r="H19" s="178">
        <v>0</v>
      </c>
      <c r="I19" s="13"/>
      <c r="J19" s="480"/>
      <c r="K19" s="19" t="s">
        <v>2</v>
      </c>
      <c r="L19" s="20" t="s">
        <v>12</v>
      </c>
      <c r="M19" s="216">
        <v>0</v>
      </c>
      <c r="N19" s="159">
        <v>0</v>
      </c>
      <c r="O19" s="159">
        <v>0</v>
      </c>
      <c r="P19" s="160">
        <v>0</v>
      </c>
      <c r="Q19" s="101"/>
    </row>
    <row r="20" spans="1:17" s="1" customFormat="1" ht="18" customHeight="1" x14ac:dyDescent="0.2">
      <c r="A20" s="17"/>
      <c r="B20" s="484"/>
      <c r="C20" s="19" t="s">
        <v>4</v>
      </c>
      <c r="D20" s="20" t="s">
        <v>11</v>
      </c>
      <c r="E20" s="177">
        <v>135000</v>
      </c>
      <c r="F20" s="177">
        <v>97000</v>
      </c>
      <c r="G20" s="157">
        <v>97000</v>
      </c>
      <c r="H20" s="178">
        <f t="shared" si="0"/>
        <v>100</v>
      </c>
      <c r="I20" s="13"/>
      <c r="J20" s="481"/>
      <c r="K20" s="19" t="s">
        <v>4</v>
      </c>
      <c r="L20" s="20" t="s">
        <v>11</v>
      </c>
      <c r="M20" s="216">
        <v>0</v>
      </c>
      <c r="N20" s="159">
        <v>0</v>
      </c>
      <c r="O20" s="159">
        <v>0</v>
      </c>
      <c r="P20" s="160">
        <v>0</v>
      </c>
      <c r="Q20" s="101"/>
    </row>
    <row r="21" spans="1:17" s="1" customFormat="1" ht="18" customHeight="1" x14ac:dyDescent="0.2">
      <c r="A21" s="17"/>
      <c r="B21" s="482" t="s">
        <v>68</v>
      </c>
      <c r="C21" s="499" t="s">
        <v>32</v>
      </c>
      <c r="D21" s="500"/>
      <c r="E21" s="176">
        <f>E22+E23+E24</f>
        <v>364180</v>
      </c>
      <c r="F21" s="176">
        <f>F22+F23+F24</f>
        <v>1100796</v>
      </c>
      <c r="G21" s="156">
        <f>G22+G23+G24</f>
        <v>1100796</v>
      </c>
      <c r="H21" s="175">
        <f t="shared" si="0"/>
        <v>100</v>
      </c>
      <c r="I21" s="13"/>
      <c r="J21" s="479" t="s">
        <v>51</v>
      </c>
      <c r="K21" s="508" t="s">
        <v>31</v>
      </c>
      <c r="L21" s="508"/>
      <c r="M21" s="217">
        <f>M22+M23+M24</f>
        <v>38885722</v>
      </c>
      <c r="N21" s="217">
        <f>N22+N23+N24</f>
        <v>105382054</v>
      </c>
      <c r="O21" s="215">
        <f>O22+O23+O24</f>
        <v>48866285</v>
      </c>
      <c r="P21" s="155">
        <f t="shared" si="1"/>
        <v>46.370594560626046</v>
      </c>
      <c r="Q21" s="101"/>
    </row>
    <row r="22" spans="1:17" s="1" customFormat="1" ht="18" customHeight="1" x14ac:dyDescent="0.2">
      <c r="A22" s="17"/>
      <c r="B22" s="483"/>
      <c r="C22" s="19" t="s">
        <v>1</v>
      </c>
      <c r="D22" s="20" t="s">
        <v>10</v>
      </c>
      <c r="E22" s="177">
        <v>364180</v>
      </c>
      <c r="F22" s="177">
        <v>1100796</v>
      </c>
      <c r="G22" s="157">
        <v>1100796</v>
      </c>
      <c r="H22" s="178">
        <f t="shared" si="0"/>
        <v>100</v>
      </c>
      <c r="I22" s="13"/>
      <c r="J22" s="480"/>
      <c r="K22" s="19" t="s">
        <v>1</v>
      </c>
      <c r="L22" s="20" t="s">
        <v>10</v>
      </c>
      <c r="M22" s="157">
        <v>38885722</v>
      </c>
      <c r="N22" s="158">
        <v>105382054</v>
      </c>
      <c r="O22" s="159">
        <v>48866285</v>
      </c>
      <c r="P22" s="160">
        <f t="shared" si="1"/>
        <v>46.370594560626046</v>
      </c>
      <c r="Q22" s="101"/>
    </row>
    <row r="23" spans="1:17" s="1" customFormat="1" ht="18" customHeight="1" x14ac:dyDescent="0.2">
      <c r="A23" s="17"/>
      <c r="B23" s="483"/>
      <c r="C23" s="19" t="s">
        <v>2</v>
      </c>
      <c r="D23" s="20" t="s">
        <v>12</v>
      </c>
      <c r="E23" s="177">
        <v>0</v>
      </c>
      <c r="F23" s="177">
        <v>0</v>
      </c>
      <c r="G23" s="157">
        <v>0</v>
      </c>
      <c r="H23" s="178">
        <v>0</v>
      </c>
      <c r="I23" s="13"/>
      <c r="J23" s="480"/>
      <c r="K23" s="19" t="s">
        <v>2</v>
      </c>
      <c r="L23" s="20" t="s">
        <v>12</v>
      </c>
      <c r="M23" s="157">
        <v>0</v>
      </c>
      <c r="N23" s="158">
        <v>0</v>
      </c>
      <c r="O23" s="158">
        <v>0</v>
      </c>
      <c r="P23" s="160">
        <v>0</v>
      </c>
      <c r="Q23" s="101"/>
    </row>
    <row r="24" spans="1:17" s="1" customFormat="1" ht="18" customHeight="1" x14ac:dyDescent="0.2">
      <c r="A24" s="17"/>
      <c r="B24" s="484"/>
      <c r="C24" s="19" t="s">
        <v>4</v>
      </c>
      <c r="D24" s="20" t="s">
        <v>11</v>
      </c>
      <c r="E24" s="177">
        <v>0</v>
      </c>
      <c r="F24" s="177">
        <v>0</v>
      </c>
      <c r="G24" s="157">
        <v>0</v>
      </c>
      <c r="H24" s="178">
        <v>0</v>
      </c>
      <c r="I24" s="13"/>
      <c r="J24" s="481"/>
      <c r="K24" s="19" t="s">
        <v>4</v>
      </c>
      <c r="L24" s="20" t="s">
        <v>11</v>
      </c>
      <c r="M24" s="157">
        <v>0</v>
      </c>
      <c r="N24" s="158">
        <v>0</v>
      </c>
      <c r="O24" s="158">
        <v>0</v>
      </c>
      <c r="P24" s="160">
        <v>0</v>
      </c>
      <c r="Q24" s="101"/>
    </row>
    <row r="25" spans="1:17" s="1" customFormat="1" ht="18" customHeight="1" x14ac:dyDescent="0.2">
      <c r="A25" s="17"/>
      <c r="B25" s="482" t="s">
        <v>70</v>
      </c>
      <c r="C25" s="477" t="s">
        <v>46</v>
      </c>
      <c r="D25" s="478"/>
      <c r="E25" s="176">
        <f>E26+E27+E28</f>
        <v>0</v>
      </c>
      <c r="F25" s="176">
        <v>0</v>
      </c>
      <c r="G25" s="156">
        <f>G26+G27+G28</f>
        <v>0</v>
      </c>
      <c r="H25" s="178">
        <v>0</v>
      </c>
      <c r="I25" s="13"/>
      <c r="J25" s="479" t="s">
        <v>52</v>
      </c>
      <c r="K25" s="498" t="s">
        <v>8</v>
      </c>
      <c r="L25" s="498"/>
      <c r="M25" s="156">
        <f>M26+M27+M28</f>
        <v>0</v>
      </c>
      <c r="N25" s="156">
        <v>0</v>
      </c>
      <c r="O25" s="154">
        <f>O26+O27+O28</f>
        <v>0</v>
      </c>
      <c r="P25" s="155">
        <v>0</v>
      </c>
      <c r="Q25" s="101"/>
    </row>
    <row r="26" spans="1:17" s="1" customFormat="1" ht="18" customHeight="1" x14ac:dyDescent="0.2">
      <c r="A26" s="17"/>
      <c r="B26" s="483"/>
      <c r="C26" s="19" t="s">
        <v>1</v>
      </c>
      <c r="D26" s="20" t="s">
        <v>10</v>
      </c>
      <c r="E26" s="177">
        <v>0</v>
      </c>
      <c r="F26" s="177">
        <v>0</v>
      </c>
      <c r="G26" s="157">
        <v>0</v>
      </c>
      <c r="H26" s="178">
        <v>0</v>
      </c>
      <c r="I26" s="13"/>
      <c r="J26" s="480"/>
      <c r="K26" s="19" t="s">
        <v>1</v>
      </c>
      <c r="L26" s="20" t="s">
        <v>10</v>
      </c>
      <c r="M26" s="157">
        <v>0</v>
      </c>
      <c r="N26" s="158">
        <v>0</v>
      </c>
      <c r="O26" s="158">
        <v>0</v>
      </c>
      <c r="P26" s="160">
        <v>0</v>
      </c>
      <c r="Q26" s="101"/>
    </row>
    <row r="27" spans="1:17" s="1" customFormat="1" ht="18" customHeight="1" x14ac:dyDescent="0.2">
      <c r="A27" s="17"/>
      <c r="B27" s="483"/>
      <c r="C27" s="19" t="s">
        <v>2</v>
      </c>
      <c r="D27" s="20" t="s">
        <v>12</v>
      </c>
      <c r="E27" s="177">
        <v>0</v>
      </c>
      <c r="F27" s="177">
        <v>0</v>
      </c>
      <c r="G27" s="157">
        <v>0</v>
      </c>
      <c r="H27" s="178">
        <v>0</v>
      </c>
      <c r="I27" s="13"/>
      <c r="J27" s="480"/>
      <c r="K27" s="19" t="s">
        <v>2</v>
      </c>
      <c r="L27" s="20" t="s">
        <v>12</v>
      </c>
      <c r="M27" s="157">
        <v>0</v>
      </c>
      <c r="N27" s="158">
        <v>0</v>
      </c>
      <c r="O27" s="158">
        <v>0</v>
      </c>
      <c r="P27" s="160">
        <v>0</v>
      </c>
      <c r="Q27" s="101"/>
    </row>
    <row r="28" spans="1:17" s="1" customFormat="1" ht="18" customHeight="1" x14ac:dyDescent="0.2">
      <c r="A28" s="18"/>
      <c r="B28" s="484"/>
      <c r="C28" s="19" t="s">
        <v>4</v>
      </c>
      <c r="D28" s="20" t="s">
        <v>11</v>
      </c>
      <c r="E28" s="177">
        <v>0</v>
      </c>
      <c r="F28" s="177">
        <v>0</v>
      </c>
      <c r="G28" s="157">
        <v>0</v>
      </c>
      <c r="H28" s="178">
        <v>0</v>
      </c>
      <c r="I28" s="13"/>
      <c r="J28" s="481"/>
      <c r="K28" s="19" t="s">
        <v>4</v>
      </c>
      <c r="L28" s="20" t="s">
        <v>11</v>
      </c>
      <c r="M28" s="157">
        <v>0</v>
      </c>
      <c r="N28" s="158">
        <v>0</v>
      </c>
      <c r="O28" s="158">
        <v>0</v>
      </c>
      <c r="P28" s="160">
        <v>0</v>
      </c>
      <c r="Q28" s="101"/>
    </row>
    <row r="29" spans="1:17" s="1" customFormat="1" ht="18" customHeight="1" x14ac:dyDescent="0.2">
      <c r="A29" s="536"/>
      <c r="B29" s="537"/>
      <c r="C29" s="537"/>
      <c r="D29" s="537"/>
      <c r="E29" s="537"/>
      <c r="F29" s="537"/>
      <c r="G29" s="537"/>
      <c r="H29" s="538"/>
      <c r="I29" s="13"/>
      <c r="J29" s="479" t="s">
        <v>53</v>
      </c>
      <c r="K29" s="508" t="s">
        <v>13</v>
      </c>
      <c r="L29" s="508"/>
      <c r="M29" s="156">
        <f>M30</f>
        <v>0</v>
      </c>
      <c r="N29" s="156">
        <v>0</v>
      </c>
      <c r="O29" s="156">
        <f>O30</f>
        <v>0</v>
      </c>
      <c r="P29" s="155">
        <v>0</v>
      </c>
      <c r="Q29" s="101"/>
    </row>
    <row r="30" spans="1:17" s="1" customFormat="1" ht="18" customHeight="1" x14ac:dyDescent="0.2">
      <c r="A30" s="539"/>
      <c r="B30" s="540"/>
      <c r="C30" s="540"/>
      <c r="D30" s="540"/>
      <c r="E30" s="540"/>
      <c r="F30" s="540"/>
      <c r="G30" s="540"/>
      <c r="H30" s="541"/>
      <c r="I30" s="13"/>
      <c r="J30" s="480"/>
      <c r="K30" s="19" t="s">
        <v>1</v>
      </c>
      <c r="L30" s="20" t="s">
        <v>10</v>
      </c>
      <c r="M30" s="157">
        <v>0</v>
      </c>
      <c r="N30" s="158">
        <v>0</v>
      </c>
      <c r="O30" s="161">
        <v>0</v>
      </c>
      <c r="P30" s="162">
        <v>0</v>
      </c>
      <c r="Q30" s="101"/>
    </row>
    <row r="31" spans="1:17" s="1" customFormat="1" ht="18" customHeight="1" x14ac:dyDescent="0.2">
      <c r="A31" s="539"/>
      <c r="B31" s="540"/>
      <c r="C31" s="540"/>
      <c r="D31" s="540"/>
      <c r="E31" s="540"/>
      <c r="F31" s="540"/>
      <c r="G31" s="540"/>
      <c r="H31" s="541"/>
      <c r="I31" s="13"/>
      <c r="J31" s="480"/>
      <c r="K31" s="33" t="s">
        <v>85</v>
      </c>
      <c r="L31" s="34" t="s">
        <v>87</v>
      </c>
      <c r="M31" s="163">
        <v>0</v>
      </c>
      <c r="N31" s="164">
        <v>0</v>
      </c>
      <c r="O31" s="165">
        <v>0</v>
      </c>
      <c r="P31" s="166">
        <v>0</v>
      </c>
      <c r="Q31" s="101"/>
    </row>
    <row r="32" spans="1:17" s="1" customFormat="1" ht="18" customHeight="1" x14ac:dyDescent="0.2">
      <c r="A32" s="539"/>
      <c r="B32" s="540"/>
      <c r="C32" s="540"/>
      <c r="D32" s="540"/>
      <c r="E32" s="540"/>
      <c r="F32" s="540"/>
      <c r="G32" s="540"/>
      <c r="H32" s="541"/>
      <c r="I32" s="13"/>
      <c r="J32" s="480"/>
      <c r="K32" s="43" t="s">
        <v>86</v>
      </c>
      <c r="L32" s="44" t="s">
        <v>88</v>
      </c>
      <c r="M32" s="167">
        <v>0</v>
      </c>
      <c r="N32" s="168">
        <v>0</v>
      </c>
      <c r="O32" s="169">
        <v>0</v>
      </c>
      <c r="P32" s="170">
        <v>0</v>
      </c>
      <c r="Q32" s="101"/>
    </row>
    <row r="33" spans="1:17" s="1" customFormat="1" ht="18" customHeight="1" x14ac:dyDescent="0.2">
      <c r="A33" s="539"/>
      <c r="B33" s="540"/>
      <c r="C33" s="540"/>
      <c r="D33" s="540"/>
      <c r="E33" s="540"/>
      <c r="F33" s="540"/>
      <c r="G33" s="540"/>
      <c r="H33" s="541"/>
      <c r="I33" s="13"/>
      <c r="J33" s="480"/>
      <c r="K33" s="415" t="s">
        <v>2</v>
      </c>
      <c r="L33" s="416" t="s">
        <v>12</v>
      </c>
      <c r="M33" s="417">
        <v>0</v>
      </c>
      <c r="N33" s="417">
        <v>0</v>
      </c>
      <c r="O33" s="418">
        <v>0</v>
      </c>
      <c r="P33" s="166">
        <v>0</v>
      </c>
      <c r="Q33" s="101"/>
    </row>
    <row r="34" spans="1:17" s="1" customFormat="1" ht="18" customHeight="1" x14ac:dyDescent="0.2">
      <c r="A34" s="542"/>
      <c r="B34" s="543"/>
      <c r="C34" s="543"/>
      <c r="D34" s="543"/>
      <c r="E34" s="543"/>
      <c r="F34" s="543"/>
      <c r="G34" s="543"/>
      <c r="H34" s="544"/>
      <c r="I34" s="13"/>
      <c r="J34" s="481"/>
      <c r="K34" s="415" t="s">
        <v>4</v>
      </c>
      <c r="L34" s="416" t="s">
        <v>11</v>
      </c>
      <c r="M34" s="419">
        <v>0</v>
      </c>
      <c r="N34" s="419">
        <v>0</v>
      </c>
      <c r="O34" s="418">
        <v>0</v>
      </c>
      <c r="P34" s="170">
        <v>0</v>
      </c>
      <c r="Q34" s="101"/>
    </row>
    <row r="35" spans="1:17" s="1" customFormat="1" ht="18" customHeight="1" x14ac:dyDescent="0.2">
      <c r="A35" s="35" t="s">
        <v>0</v>
      </c>
      <c r="B35" s="545" t="s">
        <v>22</v>
      </c>
      <c r="C35" s="546"/>
      <c r="D35" s="547"/>
      <c r="E35" s="179">
        <f>+E36+E37+E38</f>
        <v>29040393</v>
      </c>
      <c r="F35" s="179">
        <f>+F36+F37+F38</f>
        <v>35764456</v>
      </c>
      <c r="G35" s="179">
        <f>+G36+G37+G38</f>
        <v>35764456</v>
      </c>
      <c r="H35" s="180">
        <f>+G35/F35*100</f>
        <v>100</v>
      </c>
      <c r="I35" s="23" t="s">
        <v>0</v>
      </c>
      <c r="J35" s="529" t="s">
        <v>17</v>
      </c>
      <c r="K35" s="560"/>
      <c r="L35" s="560"/>
      <c r="M35" s="171">
        <f>+M36+M37+M38</f>
        <v>331440320</v>
      </c>
      <c r="N35" s="171">
        <f>+N36+N37+N38</f>
        <v>482208576</v>
      </c>
      <c r="O35" s="171">
        <f>+O36+O37+O38</f>
        <v>365030320</v>
      </c>
      <c r="P35" s="172">
        <f t="shared" si="1"/>
        <v>75.699673993355105</v>
      </c>
      <c r="Q35" s="101"/>
    </row>
    <row r="36" spans="1:17" s="1" customFormat="1" ht="18" customHeight="1" x14ac:dyDescent="0.2">
      <c r="A36" s="24"/>
      <c r="B36" s="530" t="s">
        <v>73</v>
      </c>
      <c r="C36" s="25" t="s">
        <v>1</v>
      </c>
      <c r="D36" s="26" t="s">
        <v>10</v>
      </c>
      <c r="E36" s="181">
        <f t="shared" ref="E36:G38" si="2">+E26+E22+E18+E14</f>
        <v>28905393</v>
      </c>
      <c r="F36" s="181">
        <f t="shared" si="2"/>
        <v>35667456</v>
      </c>
      <c r="G36" s="181">
        <f t="shared" si="2"/>
        <v>35667456</v>
      </c>
      <c r="H36" s="182">
        <f t="shared" ref="H36:H38" si="3">+G36/F36*100</f>
        <v>100</v>
      </c>
      <c r="I36" s="466"/>
      <c r="J36" s="535" t="s">
        <v>72</v>
      </c>
      <c r="K36" s="25" t="s">
        <v>1</v>
      </c>
      <c r="L36" s="26" t="s">
        <v>10</v>
      </c>
      <c r="M36" s="173">
        <f>+M30+M26+M22+M18+M14</f>
        <v>331440320</v>
      </c>
      <c r="N36" s="173">
        <f>+N30+N26+N22+N18+N14</f>
        <v>482208576</v>
      </c>
      <c r="O36" s="173">
        <f>+O30+O26+O22+O18+O14</f>
        <v>365030320</v>
      </c>
      <c r="P36" s="174">
        <f t="shared" si="1"/>
        <v>75.699673993355105</v>
      </c>
      <c r="Q36" s="101"/>
    </row>
    <row r="37" spans="1:17" s="1" customFormat="1" ht="18" customHeight="1" x14ac:dyDescent="0.2">
      <c r="A37" s="24"/>
      <c r="B37" s="531"/>
      <c r="C37" s="25" t="s">
        <v>2</v>
      </c>
      <c r="D37" s="26" t="s">
        <v>12</v>
      </c>
      <c r="E37" s="181">
        <f t="shared" si="2"/>
        <v>0</v>
      </c>
      <c r="F37" s="181">
        <f t="shared" si="2"/>
        <v>0</v>
      </c>
      <c r="G37" s="181">
        <f t="shared" si="2"/>
        <v>0</v>
      </c>
      <c r="H37" s="182">
        <v>0</v>
      </c>
      <c r="I37" s="466"/>
      <c r="J37" s="535"/>
      <c r="K37" s="25" t="s">
        <v>2</v>
      </c>
      <c r="L37" s="26" t="s">
        <v>12</v>
      </c>
      <c r="M37" s="41">
        <f t="shared" ref="M37:O38" si="4">+M27+M23+M19+M15</f>
        <v>0</v>
      </c>
      <c r="N37" s="41">
        <f t="shared" si="4"/>
        <v>0</v>
      </c>
      <c r="O37" s="41">
        <f t="shared" si="4"/>
        <v>0</v>
      </c>
      <c r="P37" s="248">
        <v>0</v>
      </c>
      <c r="Q37" s="101"/>
    </row>
    <row r="38" spans="1:17" s="1" customFormat="1" ht="18" customHeight="1" x14ac:dyDescent="0.2">
      <c r="A38" s="27"/>
      <c r="B38" s="532"/>
      <c r="C38" s="25" t="s">
        <v>4</v>
      </c>
      <c r="D38" s="26" t="s">
        <v>11</v>
      </c>
      <c r="E38" s="181">
        <f t="shared" si="2"/>
        <v>135000</v>
      </c>
      <c r="F38" s="181">
        <f t="shared" si="2"/>
        <v>97000</v>
      </c>
      <c r="G38" s="181">
        <f t="shared" si="2"/>
        <v>97000</v>
      </c>
      <c r="H38" s="182">
        <f t="shared" si="3"/>
        <v>100</v>
      </c>
      <c r="I38" s="467"/>
      <c r="J38" s="535"/>
      <c r="K38" s="25" t="s">
        <v>4</v>
      </c>
      <c r="L38" s="26" t="s">
        <v>11</v>
      </c>
      <c r="M38" s="42">
        <f t="shared" si="4"/>
        <v>0</v>
      </c>
      <c r="N38" s="42">
        <f t="shared" si="4"/>
        <v>0</v>
      </c>
      <c r="O38" s="42">
        <f t="shared" si="4"/>
        <v>0</v>
      </c>
      <c r="P38" s="254">
        <v>0</v>
      </c>
      <c r="Q38" s="101"/>
    </row>
    <row r="39" spans="1:17" s="40" customFormat="1" ht="30.75" customHeight="1" thickBot="1" x14ac:dyDescent="0.25">
      <c r="A39" s="510" t="s">
        <v>89</v>
      </c>
      <c r="B39" s="511"/>
      <c r="C39" s="511"/>
      <c r="D39" s="512"/>
      <c r="E39" s="325">
        <f>M35-E35</f>
        <v>302399927</v>
      </c>
      <c r="F39" s="325">
        <f>N35-F35</f>
        <v>446444120</v>
      </c>
      <c r="G39" s="325">
        <f>O35-G35</f>
        <v>329265864</v>
      </c>
      <c r="H39" s="326"/>
      <c r="I39" s="510" t="s">
        <v>90</v>
      </c>
      <c r="J39" s="511"/>
      <c r="K39" s="511"/>
      <c r="L39" s="512"/>
      <c r="M39" s="325"/>
      <c r="N39" s="327"/>
      <c r="O39" s="327"/>
      <c r="P39" s="328"/>
      <c r="Q39" s="103"/>
    </row>
    <row r="40" spans="1:17" s="1" customFormat="1" ht="18" customHeight="1" x14ac:dyDescent="0.2">
      <c r="A40" s="561" t="s">
        <v>45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3"/>
      <c r="Q40" s="101"/>
    </row>
    <row r="41" spans="1:17" s="1" customFormat="1" ht="18" customHeight="1" x14ac:dyDescent="0.2">
      <c r="A41" s="16" t="s">
        <v>3</v>
      </c>
      <c r="B41" s="552" t="s">
        <v>23</v>
      </c>
      <c r="C41" s="553"/>
      <c r="D41" s="554"/>
      <c r="E41" s="156">
        <f>E42+E46+E50</f>
        <v>0</v>
      </c>
      <c r="F41" s="156">
        <f>F42+F46+F50</f>
        <v>0</v>
      </c>
      <c r="G41" s="154">
        <f>G42+G46+G50</f>
        <v>0</v>
      </c>
      <c r="H41" s="175">
        <v>0</v>
      </c>
      <c r="I41" s="14" t="s">
        <v>3</v>
      </c>
      <c r="J41" s="555" t="s">
        <v>21</v>
      </c>
      <c r="K41" s="556"/>
      <c r="L41" s="557"/>
      <c r="M41" s="153">
        <f>M42+M46+M50</f>
        <v>0</v>
      </c>
      <c r="N41" s="153">
        <f>N42+N46+N50</f>
        <v>3873000</v>
      </c>
      <c r="O41" s="154">
        <f>O42+O46+O50</f>
        <v>2106897</v>
      </c>
      <c r="P41" s="155">
        <f t="shared" ref="P41:P55" si="5">+O41/N41*100</f>
        <v>54.399612703330746</v>
      </c>
      <c r="Q41" s="101"/>
    </row>
    <row r="42" spans="1:17" s="1" customFormat="1" ht="18" customHeight="1" x14ac:dyDescent="0.2">
      <c r="A42" s="17"/>
      <c r="B42" s="482" t="s">
        <v>66</v>
      </c>
      <c r="C42" s="533" t="s">
        <v>204</v>
      </c>
      <c r="D42" s="534"/>
      <c r="E42" s="176">
        <f>E43+E44+E45</f>
        <v>0</v>
      </c>
      <c r="F42" s="176">
        <f>F43+F44+F45</f>
        <v>0</v>
      </c>
      <c r="G42" s="156">
        <f>G43+G44+G45</f>
        <v>0</v>
      </c>
      <c r="H42" s="175">
        <v>0</v>
      </c>
      <c r="I42" s="13"/>
      <c r="J42" s="479" t="s">
        <v>55</v>
      </c>
      <c r="K42" s="477" t="s">
        <v>14</v>
      </c>
      <c r="L42" s="478"/>
      <c r="M42" s="156">
        <f>M43+M44+M45</f>
        <v>0</v>
      </c>
      <c r="N42" s="156">
        <f>N43+N44+N45</f>
        <v>3873000</v>
      </c>
      <c r="O42" s="154">
        <f>O43+O44+O45</f>
        <v>2106897</v>
      </c>
      <c r="P42" s="155">
        <f t="shared" si="5"/>
        <v>54.399612703330746</v>
      </c>
      <c r="Q42" s="101"/>
    </row>
    <row r="43" spans="1:17" s="1" customFormat="1" ht="18" customHeight="1" x14ac:dyDescent="0.2">
      <c r="A43" s="17"/>
      <c r="B43" s="483"/>
      <c r="C43" s="19" t="s">
        <v>1</v>
      </c>
      <c r="D43" s="20" t="s">
        <v>10</v>
      </c>
      <c r="E43" s="177">
        <v>0</v>
      </c>
      <c r="F43" s="177">
        <v>0</v>
      </c>
      <c r="G43" s="157">
        <v>0</v>
      </c>
      <c r="H43" s="178">
        <v>0</v>
      </c>
      <c r="I43" s="13"/>
      <c r="J43" s="480"/>
      <c r="K43" s="19" t="s">
        <v>1</v>
      </c>
      <c r="L43" s="20" t="s">
        <v>10</v>
      </c>
      <c r="M43" s="157">
        <v>0</v>
      </c>
      <c r="N43" s="158">
        <v>3873000</v>
      </c>
      <c r="O43" s="159">
        <v>2106897</v>
      </c>
      <c r="P43" s="160">
        <f t="shared" si="5"/>
        <v>54.399612703330746</v>
      </c>
      <c r="Q43" s="101"/>
    </row>
    <row r="44" spans="1:17" s="1" customFormat="1" ht="18" customHeight="1" x14ac:dyDescent="0.2">
      <c r="A44" s="17"/>
      <c r="B44" s="483"/>
      <c r="C44" s="19" t="s">
        <v>2</v>
      </c>
      <c r="D44" s="20" t="s">
        <v>12</v>
      </c>
      <c r="E44" s="177">
        <v>0</v>
      </c>
      <c r="F44" s="177">
        <v>0</v>
      </c>
      <c r="G44" s="157">
        <v>0</v>
      </c>
      <c r="H44" s="178">
        <v>0</v>
      </c>
      <c r="I44" s="13"/>
      <c r="J44" s="480"/>
      <c r="K44" s="19" t="s">
        <v>2</v>
      </c>
      <c r="L44" s="20" t="s">
        <v>12</v>
      </c>
      <c r="M44" s="157">
        <v>0</v>
      </c>
      <c r="N44" s="158">
        <v>0</v>
      </c>
      <c r="O44" s="158">
        <v>0</v>
      </c>
      <c r="P44" s="160">
        <v>0</v>
      </c>
      <c r="Q44" s="101"/>
    </row>
    <row r="45" spans="1:17" s="1" customFormat="1" ht="18" customHeight="1" x14ac:dyDescent="0.2">
      <c r="A45" s="17"/>
      <c r="B45" s="484"/>
      <c r="C45" s="19" t="s">
        <v>4</v>
      </c>
      <c r="D45" s="20" t="s">
        <v>11</v>
      </c>
      <c r="E45" s="177">
        <v>0</v>
      </c>
      <c r="F45" s="177">
        <v>0</v>
      </c>
      <c r="G45" s="157">
        <v>0</v>
      </c>
      <c r="H45" s="178">
        <v>0</v>
      </c>
      <c r="I45" s="13"/>
      <c r="J45" s="481"/>
      <c r="K45" s="19" t="s">
        <v>4</v>
      </c>
      <c r="L45" s="20" t="s">
        <v>11</v>
      </c>
      <c r="M45" s="157">
        <v>0</v>
      </c>
      <c r="N45" s="158">
        <v>0</v>
      </c>
      <c r="O45" s="158">
        <v>0</v>
      </c>
      <c r="P45" s="160">
        <v>0</v>
      </c>
      <c r="Q45" s="101"/>
    </row>
    <row r="46" spans="1:17" s="1" customFormat="1" ht="18" customHeight="1" x14ac:dyDescent="0.2">
      <c r="A46" s="17"/>
      <c r="B46" s="482" t="s">
        <v>69</v>
      </c>
      <c r="C46" s="499" t="s">
        <v>24</v>
      </c>
      <c r="D46" s="500"/>
      <c r="E46" s="176">
        <f>E47+E48+E49</f>
        <v>0</v>
      </c>
      <c r="F46" s="176">
        <v>0</v>
      </c>
      <c r="G46" s="156">
        <f>G47+G48+G49</f>
        <v>0</v>
      </c>
      <c r="H46" s="178">
        <v>0</v>
      </c>
      <c r="I46" s="13"/>
      <c r="J46" s="479" t="s">
        <v>56</v>
      </c>
      <c r="K46" s="499" t="s">
        <v>15</v>
      </c>
      <c r="L46" s="500"/>
      <c r="M46" s="156">
        <f>M47+M48+M49</f>
        <v>0</v>
      </c>
      <c r="N46" s="156">
        <v>0</v>
      </c>
      <c r="O46" s="154">
        <f>O47+O48+O49</f>
        <v>0</v>
      </c>
      <c r="P46" s="155">
        <v>0</v>
      </c>
      <c r="Q46" s="101"/>
    </row>
    <row r="47" spans="1:17" s="1" customFormat="1" ht="18" customHeight="1" x14ac:dyDescent="0.2">
      <c r="A47" s="17"/>
      <c r="B47" s="483"/>
      <c r="C47" s="19" t="s">
        <v>1</v>
      </c>
      <c r="D47" s="20" t="s">
        <v>10</v>
      </c>
      <c r="E47" s="177">
        <v>0</v>
      </c>
      <c r="F47" s="177">
        <v>0</v>
      </c>
      <c r="G47" s="157">
        <v>0</v>
      </c>
      <c r="H47" s="178">
        <v>0</v>
      </c>
      <c r="I47" s="13"/>
      <c r="J47" s="480"/>
      <c r="K47" s="19" t="s">
        <v>1</v>
      </c>
      <c r="L47" s="20" t="s">
        <v>10</v>
      </c>
      <c r="M47" s="157">
        <v>0</v>
      </c>
      <c r="N47" s="158">
        <v>0</v>
      </c>
      <c r="O47" s="158">
        <v>0</v>
      </c>
      <c r="P47" s="160">
        <v>0</v>
      </c>
      <c r="Q47" s="101"/>
    </row>
    <row r="48" spans="1:17" s="1" customFormat="1" ht="18" customHeight="1" x14ac:dyDescent="0.2">
      <c r="A48" s="17"/>
      <c r="B48" s="483"/>
      <c r="C48" s="19" t="s">
        <v>2</v>
      </c>
      <c r="D48" s="20" t="s">
        <v>12</v>
      </c>
      <c r="E48" s="177">
        <v>0</v>
      </c>
      <c r="F48" s="177">
        <v>0</v>
      </c>
      <c r="G48" s="157">
        <v>0</v>
      </c>
      <c r="H48" s="178">
        <v>0</v>
      </c>
      <c r="I48" s="13"/>
      <c r="J48" s="480"/>
      <c r="K48" s="19" t="s">
        <v>2</v>
      </c>
      <c r="L48" s="20" t="s">
        <v>12</v>
      </c>
      <c r="M48" s="157">
        <v>0</v>
      </c>
      <c r="N48" s="158">
        <v>0</v>
      </c>
      <c r="O48" s="158">
        <v>0</v>
      </c>
      <c r="P48" s="160">
        <v>0</v>
      </c>
      <c r="Q48" s="101"/>
    </row>
    <row r="49" spans="1:17" s="1" customFormat="1" ht="18" customHeight="1" x14ac:dyDescent="0.2">
      <c r="A49" s="17"/>
      <c r="B49" s="484"/>
      <c r="C49" s="19" t="s">
        <v>4</v>
      </c>
      <c r="D49" s="20" t="s">
        <v>11</v>
      </c>
      <c r="E49" s="177">
        <v>0</v>
      </c>
      <c r="F49" s="177">
        <v>0</v>
      </c>
      <c r="G49" s="157">
        <v>0</v>
      </c>
      <c r="H49" s="178">
        <v>0</v>
      </c>
      <c r="I49" s="13"/>
      <c r="J49" s="481"/>
      <c r="K49" s="19" t="s">
        <v>4</v>
      </c>
      <c r="L49" s="20" t="s">
        <v>11</v>
      </c>
      <c r="M49" s="157">
        <v>0</v>
      </c>
      <c r="N49" s="158">
        <v>0</v>
      </c>
      <c r="O49" s="158">
        <v>0</v>
      </c>
      <c r="P49" s="160">
        <v>0</v>
      </c>
      <c r="Q49" s="101"/>
    </row>
    <row r="50" spans="1:17" s="1" customFormat="1" ht="18" customHeight="1" x14ac:dyDescent="0.2">
      <c r="A50" s="17"/>
      <c r="B50" s="482" t="s">
        <v>71</v>
      </c>
      <c r="C50" s="477" t="s">
        <v>47</v>
      </c>
      <c r="D50" s="478"/>
      <c r="E50" s="176">
        <f>E51+E52+E53</f>
        <v>0</v>
      </c>
      <c r="F50" s="176">
        <v>0</v>
      </c>
      <c r="G50" s="156">
        <f>G51+G52+G53</f>
        <v>0</v>
      </c>
      <c r="H50" s="178">
        <v>0</v>
      </c>
      <c r="I50" s="13"/>
      <c r="J50" s="479" t="s">
        <v>57</v>
      </c>
      <c r="K50" s="508" t="s">
        <v>58</v>
      </c>
      <c r="L50" s="508"/>
      <c r="M50" s="156">
        <f>M51+M52+M53</f>
        <v>0</v>
      </c>
      <c r="N50" s="156">
        <v>0</v>
      </c>
      <c r="O50" s="154">
        <f>O51+O52+O53</f>
        <v>0</v>
      </c>
      <c r="P50" s="155">
        <v>0</v>
      </c>
      <c r="Q50" s="101"/>
    </row>
    <row r="51" spans="1:17" s="1" customFormat="1" ht="18" customHeight="1" x14ac:dyDescent="0.2">
      <c r="A51" s="17"/>
      <c r="B51" s="483"/>
      <c r="C51" s="19" t="s">
        <v>1</v>
      </c>
      <c r="D51" s="20" t="s">
        <v>10</v>
      </c>
      <c r="E51" s="177">
        <v>0</v>
      </c>
      <c r="F51" s="177">
        <v>0</v>
      </c>
      <c r="G51" s="157">
        <v>0</v>
      </c>
      <c r="H51" s="178">
        <v>0</v>
      </c>
      <c r="I51" s="13"/>
      <c r="J51" s="480"/>
      <c r="K51" s="19" t="s">
        <v>1</v>
      </c>
      <c r="L51" s="20" t="s">
        <v>10</v>
      </c>
      <c r="M51" s="157">
        <v>0</v>
      </c>
      <c r="N51" s="158">
        <v>0</v>
      </c>
      <c r="O51" s="158">
        <v>0</v>
      </c>
      <c r="P51" s="160">
        <v>0</v>
      </c>
      <c r="Q51" s="101"/>
    </row>
    <row r="52" spans="1:17" s="1" customFormat="1" ht="18" customHeight="1" x14ac:dyDescent="0.2">
      <c r="A52" s="17"/>
      <c r="B52" s="483"/>
      <c r="C52" s="19" t="s">
        <v>2</v>
      </c>
      <c r="D52" s="20" t="s">
        <v>12</v>
      </c>
      <c r="E52" s="177">
        <v>0</v>
      </c>
      <c r="F52" s="177">
        <v>0</v>
      </c>
      <c r="G52" s="157">
        <v>0</v>
      </c>
      <c r="H52" s="178">
        <v>0</v>
      </c>
      <c r="I52" s="13"/>
      <c r="J52" s="480"/>
      <c r="K52" s="19" t="s">
        <v>2</v>
      </c>
      <c r="L52" s="20" t="s">
        <v>12</v>
      </c>
      <c r="M52" s="157">
        <v>0</v>
      </c>
      <c r="N52" s="158">
        <v>0</v>
      </c>
      <c r="O52" s="158">
        <v>0</v>
      </c>
      <c r="P52" s="160">
        <v>0</v>
      </c>
      <c r="Q52" s="101"/>
    </row>
    <row r="53" spans="1:17" s="1" customFormat="1" ht="18" customHeight="1" x14ac:dyDescent="0.2">
      <c r="A53" s="18"/>
      <c r="B53" s="484"/>
      <c r="C53" s="19" t="s">
        <v>4</v>
      </c>
      <c r="D53" s="20" t="s">
        <v>11</v>
      </c>
      <c r="E53" s="177">
        <v>0</v>
      </c>
      <c r="F53" s="177">
        <v>0</v>
      </c>
      <c r="G53" s="157">
        <v>0</v>
      </c>
      <c r="H53" s="178">
        <v>0</v>
      </c>
      <c r="I53" s="12"/>
      <c r="J53" s="481"/>
      <c r="K53" s="19" t="s">
        <v>4</v>
      </c>
      <c r="L53" s="20" t="s">
        <v>11</v>
      </c>
      <c r="M53" s="157">
        <v>0</v>
      </c>
      <c r="N53" s="158">
        <v>0</v>
      </c>
      <c r="O53" s="158">
        <v>0</v>
      </c>
      <c r="P53" s="160">
        <v>0</v>
      </c>
      <c r="Q53" s="101"/>
    </row>
    <row r="54" spans="1:17" s="1" customFormat="1" ht="18" customHeight="1" x14ac:dyDescent="0.2">
      <c r="A54" s="22" t="s">
        <v>3</v>
      </c>
      <c r="B54" s="527" t="s">
        <v>25</v>
      </c>
      <c r="C54" s="528"/>
      <c r="D54" s="529"/>
      <c r="E54" s="183">
        <f>E55+E56+E57</f>
        <v>0</v>
      </c>
      <c r="F54" s="183">
        <f>F55+F56+F57</f>
        <v>0</v>
      </c>
      <c r="G54" s="171">
        <f>G55+G56+G57</f>
        <v>0</v>
      </c>
      <c r="H54" s="184">
        <v>0</v>
      </c>
      <c r="I54" s="23" t="s">
        <v>3</v>
      </c>
      <c r="J54" s="527" t="s">
        <v>18</v>
      </c>
      <c r="K54" s="528"/>
      <c r="L54" s="529"/>
      <c r="M54" s="171">
        <f>M55+M56+M57</f>
        <v>0</v>
      </c>
      <c r="N54" s="171">
        <f>N55+N56+N57</f>
        <v>3873000</v>
      </c>
      <c r="O54" s="191">
        <f>O55+O56+O57</f>
        <v>2106897</v>
      </c>
      <c r="P54" s="172">
        <f t="shared" si="5"/>
        <v>54.399612703330746</v>
      </c>
      <c r="Q54" s="101"/>
    </row>
    <row r="55" spans="1:17" s="1" customFormat="1" ht="18" customHeight="1" x14ac:dyDescent="0.2">
      <c r="A55" s="24"/>
      <c r="B55" s="522" t="s">
        <v>74</v>
      </c>
      <c r="C55" s="25" t="s">
        <v>1</v>
      </c>
      <c r="D55" s="26" t="s">
        <v>10</v>
      </c>
      <c r="E55" s="181">
        <f t="shared" ref="E55:F57" si="6">E43+E47+E51</f>
        <v>0</v>
      </c>
      <c r="F55" s="181">
        <f t="shared" si="6"/>
        <v>0</v>
      </c>
      <c r="G55" s="173">
        <f t="shared" ref="G55:G57" si="7">G43+G47+G51</f>
        <v>0</v>
      </c>
      <c r="H55" s="185">
        <v>0</v>
      </c>
      <c r="I55" s="28"/>
      <c r="J55" s="558" t="s">
        <v>59</v>
      </c>
      <c r="K55" s="25" t="s">
        <v>1</v>
      </c>
      <c r="L55" s="26" t="s">
        <v>10</v>
      </c>
      <c r="M55" s="173">
        <f t="shared" ref="M55:N57" si="8">M43+M47+M51</f>
        <v>0</v>
      </c>
      <c r="N55" s="173">
        <f t="shared" si="8"/>
        <v>3873000</v>
      </c>
      <c r="O55" s="186">
        <f t="shared" ref="O55:O57" si="9">O43+O47+O51</f>
        <v>2106897</v>
      </c>
      <c r="P55" s="174">
        <f t="shared" si="5"/>
        <v>54.399612703330746</v>
      </c>
      <c r="Q55" s="101"/>
    </row>
    <row r="56" spans="1:17" s="1" customFormat="1" ht="18" customHeight="1" x14ac:dyDescent="0.2">
      <c r="A56" s="24"/>
      <c r="B56" s="523"/>
      <c r="C56" s="25" t="s">
        <v>2</v>
      </c>
      <c r="D56" s="26" t="s">
        <v>12</v>
      </c>
      <c r="E56" s="181">
        <f t="shared" si="6"/>
        <v>0</v>
      </c>
      <c r="F56" s="181">
        <f t="shared" si="6"/>
        <v>0</v>
      </c>
      <c r="G56" s="173">
        <f t="shared" si="7"/>
        <v>0</v>
      </c>
      <c r="H56" s="185">
        <v>0</v>
      </c>
      <c r="I56" s="28"/>
      <c r="J56" s="558"/>
      <c r="K56" s="25" t="s">
        <v>2</v>
      </c>
      <c r="L56" s="26" t="s">
        <v>12</v>
      </c>
      <c r="M56" s="173">
        <f t="shared" si="8"/>
        <v>0</v>
      </c>
      <c r="N56" s="173">
        <f t="shared" si="8"/>
        <v>0</v>
      </c>
      <c r="O56" s="186">
        <f t="shared" si="9"/>
        <v>0</v>
      </c>
      <c r="P56" s="174">
        <v>0</v>
      </c>
      <c r="Q56" s="101"/>
    </row>
    <row r="57" spans="1:17" s="1" customFormat="1" ht="18" customHeight="1" x14ac:dyDescent="0.2">
      <c r="A57" s="24"/>
      <c r="B57" s="523"/>
      <c r="C57" s="30" t="s">
        <v>4</v>
      </c>
      <c r="D57" s="31" t="s">
        <v>11</v>
      </c>
      <c r="E57" s="173">
        <f t="shared" si="6"/>
        <v>0</v>
      </c>
      <c r="F57" s="173">
        <f t="shared" si="6"/>
        <v>0</v>
      </c>
      <c r="G57" s="186">
        <f t="shared" si="7"/>
        <v>0</v>
      </c>
      <c r="H57" s="185">
        <v>0</v>
      </c>
      <c r="I57" s="28"/>
      <c r="J57" s="559"/>
      <c r="K57" s="30" t="s">
        <v>4</v>
      </c>
      <c r="L57" s="31" t="s">
        <v>11</v>
      </c>
      <c r="M57" s="188">
        <f t="shared" si="8"/>
        <v>0</v>
      </c>
      <c r="N57" s="188">
        <f t="shared" si="8"/>
        <v>0</v>
      </c>
      <c r="O57" s="186">
        <f t="shared" si="9"/>
        <v>0</v>
      </c>
      <c r="P57" s="174">
        <v>0</v>
      </c>
      <c r="Q57" s="101"/>
    </row>
    <row r="58" spans="1:17" s="39" customFormat="1" ht="31.5" customHeight="1" thickBot="1" x14ac:dyDescent="0.25">
      <c r="A58" s="513" t="s">
        <v>91</v>
      </c>
      <c r="B58" s="514"/>
      <c r="C58" s="514"/>
      <c r="D58" s="514"/>
      <c r="E58" s="329"/>
      <c r="F58" s="330">
        <f>N54-F54</f>
        <v>3873000</v>
      </c>
      <c r="G58" s="327">
        <f>O54-G54</f>
        <v>2106897</v>
      </c>
      <c r="H58" s="331"/>
      <c r="I58" s="513" t="s">
        <v>92</v>
      </c>
      <c r="J58" s="514"/>
      <c r="K58" s="514"/>
      <c r="L58" s="514"/>
      <c r="M58" s="320"/>
      <c r="N58" s="332"/>
      <c r="O58" s="327"/>
      <c r="P58" s="328"/>
      <c r="Q58" s="104"/>
    </row>
    <row r="59" spans="1:17" s="1" customFormat="1" ht="18" customHeight="1" x14ac:dyDescent="0.2">
      <c r="A59" s="32" t="s">
        <v>34</v>
      </c>
      <c r="B59" s="469" t="s">
        <v>35</v>
      </c>
      <c r="C59" s="470"/>
      <c r="D59" s="471"/>
      <c r="E59" s="187">
        <f>E60+E61+E62</f>
        <v>29040393</v>
      </c>
      <c r="F59" s="187">
        <f>F60+F61+F62</f>
        <v>35764456</v>
      </c>
      <c r="G59" s="187">
        <f>G60+G61+G62</f>
        <v>35764456</v>
      </c>
      <c r="H59" s="184">
        <f t="shared" ref="H59" si="10">+G59/F59*100</f>
        <v>100</v>
      </c>
      <c r="I59" s="35" t="s">
        <v>34</v>
      </c>
      <c r="J59" s="485" t="s">
        <v>37</v>
      </c>
      <c r="K59" s="486"/>
      <c r="L59" s="486"/>
      <c r="M59" s="187">
        <f>M60+M61+M62</f>
        <v>331440320</v>
      </c>
      <c r="N59" s="187">
        <f>N60+N61+N62</f>
        <v>486081576</v>
      </c>
      <c r="O59" s="187">
        <f>O60+O61+O62</f>
        <v>367137217</v>
      </c>
      <c r="P59" s="192">
        <f t="shared" ref="P59:P60" si="11">+O59/N59*100</f>
        <v>75.529959399242898</v>
      </c>
      <c r="Q59" s="101"/>
    </row>
    <row r="60" spans="1:17" s="1" customFormat="1" ht="18" customHeight="1" x14ac:dyDescent="0.2">
      <c r="A60" s="24"/>
      <c r="B60" s="519" t="s">
        <v>76</v>
      </c>
      <c r="C60" s="25" t="s">
        <v>1</v>
      </c>
      <c r="D60" s="26" t="s">
        <v>10</v>
      </c>
      <c r="E60" s="188">
        <f t="shared" ref="E60:G62" si="12">E36+E55</f>
        <v>28905393</v>
      </c>
      <c r="F60" s="188">
        <f t="shared" si="12"/>
        <v>35667456</v>
      </c>
      <c r="G60" s="188">
        <f t="shared" si="12"/>
        <v>35667456</v>
      </c>
      <c r="H60" s="185">
        <f>+G60/F60*100</f>
        <v>100</v>
      </c>
      <c r="I60" s="466"/>
      <c r="J60" s="468" t="s">
        <v>75</v>
      </c>
      <c r="K60" s="25" t="s">
        <v>1</v>
      </c>
      <c r="L60" s="26" t="s">
        <v>10</v>
      </c>
      <c r="M60" s="188">
        <f t="shared" ref="M60:O62" si="13">M36+M55</f>
        <v>331440320</v>
      </c>
      <c r="N60" s="188">
        <f t="shared" si="13"/>
        <v>486081576</v>
      </c>
      <c r="O60" s="188">
        <f t="shared" si="13"/>
        <v>367137217</v>
      </c>
      <c r="P60" s="193">
        <f t="shared" si="11"/>
        <v>75.529959399242898</v>
      </c>
      <c r="Q60" s="101"/>
    </row>
    <row r="61" spans="1:17" s="1" customFormat="1" ht="18" customHeight="1" x14ac:dyDescent="0.2">
      <c r="A61" s="24"/>
      <c r="B61" s="520"/>
      <c r="C61" s="25" t="s">
        <v>2</v>
      </c>
      <c r="D61" s="26" t="s">
        <v>12</v>
      </c>
      <c r="E61" s="188">
        <f t="shared" si="12"/>
        <v>0</v>
      </c>
      <c r="F61" s="188">
        <f t="shared" si="12"/>
        <v>0</v>
      </c>
      <c r="G61" s="188">
        <f t="shared" si="12"/>
        <v>0</v>
      </c>
      <c r="H61" s="185">
        <v>0</v>
      </c>
      <c r="I61" s="466"/>
      <c r="J61" s="468"/>
      <c r="K61" s="25" t="s">
        <v>2</v>
      </c>
      <c r="L61" s="26" t="s">
        <v>12</v>
      </c>
      <c r="M61" s="188">
        <f t="shared" si="13"/>
        <v>0</v>
      </c>
      <c r="N61" s="188">
        <f t="shared" si="13"/>
        <v>0</v>
      </c>
      <c r="O61" s="188">
        <f t="shared" si="13"/>
        <v>0</v>
      </c>
      <c r="P61" s="193">
        <v>0</v>
      </c>
      <c r="Q61" s="101"/>
    </row>
    <row r="62" spans="1:17" s="1" customFormat="1" ht="18" customHeight="1" x14ac:dyDescent="0.2">
      <c r="A62" s="27"/>
      <c r="B62" s="521"/>
      <c r="C62" s="25" t="s">
        <v>4</v>
      </c>
      <c r="D62" s="26" t="s">
        <v>11</v>
      </c>
      <c r="E62" s="173">
        <f t="shared" si="12"/>
        <v>135000</v>
      </c>
      <c r="F62" s="173">
        <f t="shared" si="12"/>
        <v>97000</v>
      </c>
      <c r="G62" s="173">
        <f t="shared" si="12"/>
        <v>97000</v>
      </c>
      <c r="H62" s="185">
        <f>+G62/F62*100</f>
        <v>100</v>
      </c>
      <c r="I62" s="467"/>
      <c r="J62" s="468"/>
      <c r="K62" s="25" t="s">
        <v>4</v>
      </c>
      <c r="L62" s="26" t="s">
        <v>11</v>
      </c>
      <c r="M62" s="173">
        <f t="shared" si="13"/>
        <v>0</v>
      </c>
      <c r="N62" s="173">
        <f t="shared" si="13"/>
        <v>0</v>
      </c>
      <c r="O62" s="173">
        <f t="shared" si="13"/>
        <v>0</v>
      </c>
      <c r="P62" s="174">
        <v>0</v>
      </c>
      <c r="Q62" s="101"/>
    </row>
    <row r="63" spans="1:17" s="9" customFormat="1" ht="30" customHeight="1" thickBot="1" x14ac:dyDescent="0.25">
      <c r="A63" s="472" t="s">
        <v>63</v>
      </c>
      <c r="B63" s="473"/>
      <c r="C63" s="473"/>
      <c r="D63" s="474"/>
      <c r="E63" s="329">
        <f>M59-E59</f>
        <v>302399927</v>
      </c>
      <c r="F63" s="333">
        <f>+N59-F59</f>
        <v>450317120</v>
      </c>
      <c r="G63" s="329">
        <f>+O59-G59</f>
        <v>331372761</v>
      </c>
      <c r="H63" s="329"/>
      <c r="I63" s="472" t="s">
        <v>64</v>
      </c>
      <c r="J63" s="473"/>
      <c r="K63" s="473"/>
      <c r="L63" s="474"/>
      <c r="M63" s="329"/>
      <c r="N63" s="330"/>
      <c r="O63" s="334"/>
      <c r="P63" s="335"/>
      <c r="Q63" s="102"/>
    </row>
    <row r="64" spans="1:17" s="1" customFormat="1" ht="18" customHeight="1" x14ac:dyDescent="0.2">
      <c r="A64" s="58" t="s">
        <v>38</v>
      </c>
      <c r="B64" s="515" t="s">
        <v>36</v>
      </c>
      <c r="C64" s="516"/>
      <c r="D64" s="517"/>
      <c r="E64" s="189">
        <f>E65+E66</f>
        <v>321885462</v>
      </c>
      <c r="F64" s="189">
        <f>F65+F66</f>
        <v>450317120</v>
      </c>
      <c r="G64" s="189">
        <f>G65+G66</f>
        <v>360334745</v>
      </c>
      <c r="H64" s="190">
        <f>+G64/F64*100</f>
        <v>80.017998205353592</v>
      </c>
      <c r="I64" s="58" t="s">
        <v>38</v>
      </c>
      <c r="J64" s="515" t="s">
        <v>48</v>
      </c>
      <c r="K64" s="516"/>
      <c r="L64" s="517"/>
      <c r="M64" s="189">
        <f>+M65+M66</f>
        <v>0</v>
      </c>
      <c r="N64" s="189">
        <f>+N65+N66</f>
        <v>0</v>
      </c>
      <c r="O64" s="189">
        <f>+O65+O66</f>
        <v>0</v>
      </c>
      <c r="P64" s="194">
        <v>0</v>
      </c>
      <c r="Q64" s="101"/>
    </row>
    <row r="65" spans="1:17" s="1" customFormat="1" ht="18" customHeight="1" x14ac:dyDescent="0.2">
      <c r="A65" s="29"/>
      <c r="B65" s="464" t="s">
        <v>65</v>
      </c>
      <c r="C65" s="19" t="s">
        <v>1</v>
      </c>
      <c r="D65" s="20" t="s">
        <v>77</v>
      </c>
      <c r="E65" s="157">
        <v>16050077</v>
      </c>
      <c r="F65" s="158">
        <v>19485535</v>
      </c>
      <c r="G65" s="158">
        <v>19485535</v>
      </c>
      <c r="H65" s="178">
        <f t="shared" ref="H65:H70" si="14">+G65/F65*100</f>
        <v>100</v>
      </c>
      <c r="I65" s="29"/>
      <c r="J65" s="465" t="s">
        <v>60</v>
      </c>
      <c r="K65" s="56" t="s">
        <v>1</v>
      </c>
      <c r="L65" s="57"/>
      <c r="M65" s="195">
        <v>0</v>
      </c>
      <c r="N65" s="196">
        <v>0</v>
      </c>
      <c r="O65" s="196">
        <v>0</v>
      </c>
      <c r="P65" s="197">
        <v>0</v>
      </c>
      <c r="Q65" s="101"/>
    </row>
    <row r="66" spans="1:17" s="1" customFormat="1" ht="18" customHeight="1" x14ac:dyDescent="0.2">
      <c r="A66" s="29"/>
      <c r="B66" s="465"/>
      <c r="C66" s="19" t="s">
        <v>2</v>
      </c>
      <c r="D66" s="20" t="s">
        <v>80</v>
      </c>
      <c r="E66" s="157">
        <v>305835385</v>
      </c>
      <c r="F66" s="158">
        <v>430831585</v>
      </c>
      <c r="G66" s="159">
        <v>340849210</v>
      </c>
      <c r="H66" s="178">
        <f t="shared" si="14"/>
        <v>79.114257604859688</v>
      </c>
      <c r="I66" s="29"/>
      <c r="J66" s="465"/>
      <c r="K66" s="19" t="s">
        <v>2</v>
      </c>
      <c r="L66" s="20"/>
      <c r="M66" s="157">
        <v>0</v>
      </c>
      <c r="N66" s="158">
        <v>0</v>
      </c>
      <c r="O66" s="158">
        <v>0</v>
      </c>
      <c r="P66" s="160">
        <v>0</v>
      </c>
      <c r="Q66" s="101"/>
    </row>
    <row r="67" spans="1:17" s="7" customFormat="1" ht="18" customHeight="1" x14ac:dyDescent="0.2">
      <c r="A67" s="348" t="s">
        <v>39</v>
      </c>
      <c r="B67" s="490" t="s">
        <v>147</v>
      </c>
      <c r="C67" s="491"/>
      <c r="D67" s="492"/>
      <c r="E67" s="349">
        <f>E68+E69+E70</f>
        <v>350925855</v>
      </c>
      <c r="F67" s="349">
        <f>F68+F69+F70</f>
        <v>486081576</v>
      </c>
      <c r="G67" s="349">
        <f>G68+G69+G70</f>
        <v>396099201</v>
      </c>
      <c r="H67" s="352">
        <f>+G67/F67*100</f>
        <v>81.488215262040711</v>
      </c>
      <c r="I67" s="351" t="s">
        <v>39</v>
      </c>
      <c r="J67" s="564" t="s">
        <v>148</v>
      </c>
      <c r="K67" s="565"/>
      <c r="L67" s="566"/>
      <c r="M67" s="349">
        <f>M68+M69+M70</f>
        <v>331440320</v>
      </c>
      <c r="N67" s="349">
        <f>N68+N69+N70</f>
        <v>486081576</v>
      </c>
      <c r="O67" s="349">
        <f>O68+O69+O70</f>
        <v>367137217</v>
      </c>
      <c r="P67" s="350">
        <f t="shared" ref="P67:P68" si="15">+O67/N67*100</f>
        <v>75.529959399242898</v>
      </c>
      <c r="Q67" s="102"/>
    </row>
    <row r="68" spans="1:17" s="7" customFormat="1" ht="18" customHeight="1" x14ac:dyDescent="0.2">
      <c r="A68" s="353"/>
      <c r="B68" s="524" t="s">
        <v>62</v>
      </c>
      <c r="C68" s="354" t="s">
        <v>1</v>
      </c>
      <c r="D68" s="355" t="s">
        <v>10</v>
      </c>
      <c r="E68" s="356">
        <f>E60+E64</f>
        <v>350790855</v>
      </c>
      <c r="F68" s="356">
        <f>F60+F64</f>
        <v>485984576</v>
      </c>
      <c r="G68" s="356">
        <f>G60+G64</f>
        <v>396002201</v>
      </c>
      <c r="H68" s="360">
        <f t="shared" si="14"/>
        <v>81.484520405849253</v>
      </c>
      <c r="I68" s="358"/>
      <c r="J68" s="524" t="s">
        <v>61</v>
      </c>
      <c r="K68" s="354" t="s">
        <v>1</v>
      </c>
      <c r="L68" s="355" t="s">
        <v>10</v>
      </c>
      <c r="M68" s="356">
        <f>M60+M64</f>
        <v>331440320</v>
      </c>
      <c r="N68" s="356">
        <f>N60+N64</f>
        <v>486081576</v>
      </c>
      <c r="O68" s="356">
        <f>O60+O64</f>
        <v>367137217</v>
      </c>
      <c r="P68" s="357">
        <f t="shared" si="15"/>
        <v>75.529959399242898</v>
      </c>
      <c r="Q68" s="102"/>
    </row>
    <row r="69" spans="1:17" s="7" customFormat="1" ht="18" customHeight="1" x14ac:dyDescent="0.2">
      <c r="A69" s="353"/>
      <c r="B69" s="525"/>
      <c r="C69" s="354" t="s">
        <v>2</v>
      </c>
      <c r="D69" s="355" t="s">
        <v>12</v>
      </c>
      <c r="E69" s="356">
        <f t="shared" ref="E69:G70" si="16">E61</f>
        <v>0</v>
      </c>
      <c r="F69" s="356">
        <v>0</v>
      </c>
      <c r="G69" s="356">
        <f t="shared" si="16"/>
        <v>0</v>
      </c>
      <c r="H69" s="360">
        <v>0</v>
      </c>
      <c r="I69" s="358"/>
      <c r="J69" s="525"/>
      <c r="K69" s="354" t="s">
        <v>2</v>
      </c>
      <c r="L69" s="355" t="s">
        <v>12</v>
      </c>
      <c r="M69" s="356">
        <f t="shared" ref="M69:O70" si="17">M61</f>
        <v>0</v>
      </c>
      <c r="N69" s="356">
        <f t="shared" si="17"/>
        <v>0</v>
      </c>
      <c r="O69" s="356">
        <f t="shared" si="17"/>
        <v>0</v>
      </c>
      <c r="P69" s="357">
        <v>0</v>
      </c>
      <c r="Q69" s="102"/>
    </row>
    <row r="70" spans="1:17" s="7" customFormat="1" ht="18" customHeight="1" thickBot="1" x14ac:dyDescent="0.25">
      <c r="A70" s="361"/>
      <c r="B70" s="526"/>
      <c r="C70" s="362" t="s">
        <v>4</v>
      </c>
      <c r="D70" s="363" t="s">
        <v>11</v>
      </c>
      <c r="E70" s="364">
        <f t="shared" si="16"/>
        <v>135000</v>
      </c>
      <c r="F70" s="364">
        <f t="shared" si="16"/>
        <v>97000</v>
      </c>
      <c r="G70" s="364">
        <f t="shared" si="16"/>
        <v>97000</v>
      </c>
      <c r="H70" s="368">
        <f t="shared" si="14"/>
        <v>100</v>
      </c>
      <c r="I70" s="366"/>
      <c r="J70" s="526"/>
      <c r="K70" s="362" t="s">
        <v>4</v>
      </c>
      <c r="L70" s="363" t="s">
        <v>11</v>
      </c>
      <c r="M70" s="364">
        <f t="shared" si="17"/>
        <v>0</v>
      </c>
      <c r="N70" s="364">
        <f t="shared" si="17"/>
        <v>0</v>
      </c>
      <c r="O70" s="364">
        <f t="shared" si="17"/>
        <v>0</v>
      </c>
      <c r="P70" s="365">
        <v>0</v>
      </c>
      <c r="Q70" s="102"/>
    </row>
    <row r="73" spans="1:17" x14ac:dyDescent="0.25">
      <c r="A73" s="3"/>
      <c r="B73" s="3"/>
      <c r="E73" s="3"/>
      <c r="F73" s="15"/>
      <c r="G73" s="15"/>
      <c r="H73" s="15"/>
      <c r="O73" s="11"/>
      <c r="P73" s="61"/>
    </row>
  </sheetData>
  <sheetProtection formatCells="0"/>
  <mergeCells count="77">
    <mergeCell ref="B68:B70"/>
    <mergeCell ref="J68:J70"/>
    <mergeCell ref="A3:P3"/>
    <mergeCell ref="A4:P4"/>
    <mergeCell ref="A5:P5"/>
    <mergeCell ref="A6:P6"/>
    <mergeCell ref="A7:P7"/>
    <mergeCell ref="B64:D64"/>
    <mergeCell ref="J64:L64"/>
    <mergeCell ref="B65:B66"/>
    <mergeCell ref="J65:J66"/>
    <mergeCell ref="B67:D67"/>
    <mergeCell ref="J67:L67"/>
    <mergeCell ref="B59:D59"/>
    <mergeCell ref="J59:L59"/>
    <mergeCell ref="B60:B62"/>
    <mergeCell ref="I60:I62"/>
    <mergeCell ref="J60:J62"/>
    <mergeCell ref="A63:D63"/>
    <mergeCell ref="I63:L63"/>
    <mergeCell ref="B54:D54"/>
    <mergeCell ref="J54:L54"/>
    <mergeCell ref="B55:B57"/>
    <mergeCell ref="J55:J57"/>
    <mergeCell ref="A58:D58"/>
    <mergeCell ref="I58:L58"/>
    <mergeCell ref="B46:B49"/>
    <mergeCell ref="C46:D46"/>
    <mergeCell ref="J46:J49"/>
    <mergeCell ref="K46:L46"/>
    <mergeCell ref="B50:B53"/>
    <mergeCell ref="C50:D50"/>
    <mergeCell ref="J50:J53"/>
    <mergeCell ref="K50:L50"/>
    <mergeCell ref="A40:P40"/>
    <mergeCell ref="B41:D41"/>
    <mergeCell ref="J41:L41"/>
    <mergeCell ref="B42:B45"/>
    <mergeCell ref="C42:D42"/>
    <mergeCell ref="J42:J45"/>
    <mergeCell ref="K42:L42"/>
    <mergeCell ref="A39:D39"/>
    <mergeCell ref="I39:L39"/>
    <mergeCell ref="B25:B28"/>
    <mergeCell ref="C25:D25"/>
    <mergeCell ref="J25:J28"/>
    <mergeCell ref="K25:L25"/>
    <mergeCell ref="K29:L29"/>
    <mergeCell ref="B35:D35"/>
    <mergeCell ref="J35:L35"/>
    <mergeCell ref="B36:B38"/>
    <mergeCell ref="I36:I38"/>
    <mergeCell ref="J36:J38"/>
    <mergeCell ref="A29:H34"/>
    <mergeCell ref="J29:J34"/>
    <mergeCell ref="B17:B20"/>
    <mergeCell ref="C17:D17"/>
    <mergeCell ref="J17:J20"/>
    <mergeCell ref="K17:L17"/>
    <mergeCell ref="B21:B24"/>
    <mergeCell ref="C21:D21"/>
    <mergeCell ref="J21:J24"/>
    <mergeCell ref="K21:L21"/>
    <mergeCell ref="A11:P11"/>
    <mergeCell ref="B12:D12"/>
    <mergeCell ref="J12:L12"/>
    <mergeCell ref="B13:B16"/>
    <mergeCell ref="C13:D13"/>
    <mergeCell ref="J13:J16"/>
    <mergeCell ref="K13:L13"/>
    <mergeCell ref="L1:P1"/>
    <mergeCell ref="D8:L8"/>
    <mergeCell ref="A9:H9"/>
    <mergeCell ref="I9:P9"/>
    <mergeCell ref="C10:D10"/>
    <mergeCell ref="K10:L10"/>
    <mergeCell ref="L2:P2"/>
  </mergeCells>
  <printOptions horizontalCentered="1"/>
  <pageMargins left="0.19685039370078741" right="0.19685039370078741" top="3.937007874015748E-2" bottom="0" header="0.43307086614173229" footer="0.51181102362204722"/>
  <pageSetup paperSize="9" scale="72" orientation="landscape" r:id="rId1"/>
  <headerFooter alignWithMargins="0"/>
  <rowBreaks count="1" manualBreakCount="1">
    <brk id="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E824-F1FE-4B90-BB9B-556C8F965F16}">
  <sheetPr>
    <tabColor theme="6" tint="0.59999389629810485"/>
  </sheetPr>
  <dimension ref="A1:O71"/>
  <sheetViews>
    <sheetView zoomScaleNormal="100" workbookViewId="0">
      <selection activeCell="P8" sqref="P8"/>
    </sheetView>
  </sheetViews>
  <sheetFormatPr defaultColWidth="9.140625" defaultRowHeight="15.75" x14ac:dyDescent="0.25"/>
  <cols>
    <col min="1" max="1" width="4.5703125" style="4" customWidth="1"/>
    <col min="2" max="2" width="31.7109375" style="4" customWidth="1"/>
    <col min="3" max="3" width="30" style="4" customWidth="1"/>
    <col min="4" max="4" width="8.7109375" style="4" customWidth="1"/>
    <col min="5" max="7" width="12.7109375" style="4" customWidth="1"/>
    <col min="8" max="8" width="14.7109375" style="4" customWidth="1"/>
    <col min="9" max="9" width="14.140625" style="4" customWidth="1"/>
    <col min="10" max="10" width="12.7109375" style="4" customWidth="1"/>
    <col min="11" max="11" width="14.7109375" style="4" customWidth="1"/>
    <col min="12" max="12" width="11.7109375" style="4" customWidth="1"/>
    <col min="13" max="13" width="11.28515625" style="4" bestFit="1" customWidth="1"/>
    <col min="14" max="16384" width="9.140625" style="4"/>
  </cols>
  <sheetData>
    <row r="1" spans="1:13" x14ac:dyDescent="0.25">
      <c r="F1" s="493" t="s">
        <v>259</v>
      </c>
      <c r="G1" s="493"/>
      <c r="H1" s="493"/>
      <c r="I1" s="493"/>
      <c r="J1" s="493"/>
      <c r="K1" s="493"/>
      <c r="L1" s="493"/>
      <c r="M1" s="212"/>
    </row>
    <row r="2" spans="1:13" x14ac:dyDescent="0.25">
      <c r="A2" s="47"/>
      <c r="B2" s="47"/>
      <c r="C2" s="47"/>
      <c r="D2" s="47"/>
      <c r="E2" s="255"/>
      <c r="F2" s="15"/>
      <c r="G2" s="15"/>
      <c r="H2" s="15"/>
      <c r="I2" s="15"/>
      <c r="J2" s="15"/>
      <c r="K2" s="15"/>
      <c r="L2" s="15"/>
    </row>
    <row r="3" spans="1:13" x14ac:dyDescent="0.25">
      <c r="A3" s="551" t="s">
        <v>238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</row>
    <row r="4" spans="1:13" x14ac:dyDescent="0.25">
      <c r="A4" s="586" t="s">
        <v>150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3" s="3" customFormat="1" x14ac:dyDescent="0.25">
      <c r="A5" s="551" t="s">
        <v>257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21"/>
    </row>
    <row r="6" spans="1:13" s="3" customFormat="1" x14ac:dyDescent="0.25">
      <c r="A6" s="39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21"/>
    </row>
    <row r="7" spans="1:13" ht="16.5" thickBot="1" x14ac:dyDescent="0.3">
      <c r="A7" s="256"/>
      <c r="B7" s="256"/>
      <c r="C7" s="256"/>
      <c r="D7" s="256"/>
      <c r="F7" s="3"/>
      <c r="G7" s="3"/>
      <c r="H7" s="3"/>
      <c r="I7" s="3"/>
      <c r="J7" s="257"/>
      <c r="K7" s="587" t="s">
        <v>201</v>
      </c>
      <c r="L7" s="587"/>
    </row>
    <row r="8" spans="1:13" ht="15.75" customHeight="1" x14ac:dyDescent="0.25">
      <c r="A8" s="574" t="s">
        <v>9</v>
      </c>
      <c r="B8" s="577" t="s">
        <v>96</v>
      </c>
      <c r="C8" s="577"/>
      <c r="D8" s="577"/>
      <c r="E8" s="579" t="s">
        <v>266</v>
      </c>
      <c r="F8" s="579"/>
      <c r="G8" s="579"/>
      <c r="H8" s="579"/>
      <c r="I8" s="579"/>
      <c r="J8" s="579"/>
      <c r="K8" s="579"/>
      <c r="L8" s="580" t="s">
        <v>99</v>
      </c>
    </row>
    <row r="9" spans="1:13" ht="15.75" customHeight="1" x14ac:dyDescent="0.25">
      <c r="A9" s="575"/>
      <c r="B9" s="578"/>
      <c r="C9" s="578"/>
      <c r="D9" s="578"/>
      <c r="E9" s="569" t="s">
        <v>97</v>
      </c>
      <c r="F9" s="569"/>
      <c r="G9" s="569"/>
      <c r="H9" s="569"/>
      <c r="I9" s="569" t="s">
        <v>98</v>
      </c>
      <c r="J9" s="569"/>
      <c r="K9" s="569"/>
      <c r="L9" s="581"/>
    </row>
    <row r="10" spans="1:13" ht="31.5" x14ac:dyDescent="0.25">
      <c r="A10" s="575"/>
      <c r="B10" s="578" t="s">
        <v>100</v>
      </c>
      <c r="C10" s="578" t="s">
        <v>101</v>
      </c>
      <c r="D10" s="588" t="s">
        <v>159</v>
      </c>
      <c r="E10" s="317" t="s">
        <v>102</v>
      </c>
      <c r="F10" s="317" t="s">
        <v>103</v>
      </c>
      <c r="G10" s="318" t="s">
        <v>104</v>
      </c>
      <c r="H10" s="317" t="s">
        <v>105</v>
      </c>
      <c r="I10" s="569" t="s">
        <v>106</v>
      </c>
      <c r="J10" s="569" t="s">
        <v>103</v>
      </c>
      <c r="K10" s="569" t="s">
        <v>105</v>
      </c>
      <c r="L10" s="581"/>
    </row>
    <row r="11" spans="1:13" ht="16.5" thickBot="1" x14ac:dyDescent="0.3">
      <c r="A11" s="576"/>
      <c r="B11" s="583"/>
      <c r="C11" s="583"/>
      <c r="D11" s="589"/>
      <c r="E11" s="570" t="s">
        <v>107</v>
      </c>
      <c r="F11" s="570"/>
      <c r="G11" s="570"/>
      <c r="H11" s="570"/>
      <c r="I11" s="570"/>
      <c r="J11" s="570"/>
      <c r="K11" s="570"/>
      <c r="L11" s="582"/>
    </row>
    <row r="12" spans="1:13" ht="17.100000000000001" customHeight="1" x14ac:dyDescent="0.25">
      <c r="A12" s="571" t="s">
        <v>240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3"/>
    </row>
    <row r="13" spans="1:13" s="90" customFormat="1" ht="17.100000000000001" customHeight="1" x14ac:dyDescent="0.25">
      <c r="A13" s="93" t="s">
        <v>1</v>
      </c>
      <c r="B13" s="83" t="s">
        <v>162</v>
      </c>
      <c r="C13" s="83" t="s">
        <v>163</v>
      </c>
      <c r="D13" s="94">
        <v>0.95</v>
      </c>
      <c r="E13" s="201">
        <f>1794875+5939655+2611584</f>
        <v>10346114</v>
      </c>
      <c r="F13" s="201">
        <v>0</v>
      </c>
      <c r="G13" s="201">
        <v>211162</v>
      </c>
      <c r="H13" s="201">
        <f t="shared" ref="H13:H16" si="0">SUM(E13:G13)</f>
        <v>10557276</v>
      </c>
      <c r="I13" s="201">
        <v>2111617</v>
      </c>
      <c r="J13" s="201">
        <v>0</v>
      </c>
      <c r="K13" s="201">
        <f t="shared" ref="K13:K33" si="1">SUM(I13:J13)</f>
        <v>2111617</v>
      </c>
      <c r="L13" s="258">
        <v>105580</v>
      </c>
      <c r="M13" s="152"/>
    </row>
    <row r="14" spans="1:13" s="90" customFormat="1" ht="17.100000000000001" customHeight="1" x14ac:dyDescent="0.25">
      <c r="A14" s="93" t="s">
        <v>2</v>
      </c>
      <c r="B14" s="441" t="s">
        <v>164</v>
      </c>
      <c r="C14" s="441" t="s">
        <v>165</v>
      </c>
      <c r="D14" s="94">
        <v>0.95</v>
      </c>
      <c r="E14" s="201">
        <f>2425093+4650313+3628548</f>
        <v>10703954</v>
      </c>
      <c r="F14" s="201">
        <v>0</v>
      </c>
      <c r="G14" s="201">
        <v>285305</v>
      </c>
      <c r="H14" s="201">
        <f t="shared" si="0"/>
        <v>10989259</v>
      </c>
      <c r="I14" s="201">
        <v>2853051</v>
      </c>
      <c r="J14" s="201">
        <v>0</v>
      </c>
      <c r="K14" s="201">
        <f t="shared" si="1"/>
        <v>2853051</v>
      </c>
      <c r="L14" s="258">
        <v>142653</v>
      </c>
      <c r="M14" s="152"/>
    </row>
    <row r="15" spans="1:13" s="261" customFormat="1" ht="17.100000000000001" customHeight="1" x14ac:dyDescent="0.25">
      <c r="A15" s="93" t="s">
        <v>4</v>
      </c>
      <c r="B15" s="83" t="s">
        <v>293</v>
      </c>
      <c r="C15" s="83" t="s">
        <v>294</v>
      </c>
      <c r="D15" s="94">
        <v>0.95</v>
      </c>
      <c r="E15" s="259">
        <f>17544267+8499737</f>
        <v>26044004</v>
      </c>
      <c r="F15" s="201">
        <v>304000</v>
      </c>
      <c r="G15" s="259">
        <v>0</v>
      </c>
      <c r="H15" s="259">
        <f t="shared" si="0"/>
        <v>26348004</v>
      </c>
      <c r="I15" s="259">
        <f>18407649+8499737-153273</f>
        <v>26754113</v>
      </c>
      <c r="J15" s="201">
        <f>380000+153273</f>
        <v>533273</v>
      </c>
      <c r="K15" s="259">
        <f t="shared" si="1"/>
        <v>27287386</v>
      </c>
      <c r="L15" s="260">
        <f>K15-H15</f>
        <v>939382</v>
      </c>
    </row>
    <row r="16" spans="1:13" s="90" customFormat="1" ht="17.100000000000001" customHeight="1" x14ac:dyDescent="0.25">
      <c r="A16" s="93" t="s">
        <v>5</v>
      </c>
      <c r="B16" s="83" t="s">
        <v>295</v>
      </c>
      <c r="C16" s="83" t="s">
        <v>296</v>
      </c>
      <c r="D16" s="94">
        <v>0.95</v>
      </c>
      <c r="E16" s="201">
        <f>18076690+8443021</f>
        <v>26519711</v>
      </c>
      <c r="F16" s="201">
        <v>0</v>
      </c>
      <c r="G16" s="201">
        <v>0</v>
      </c>
      <c r="H16" s="201">
        <f t="shared" si="0"/>
        <v>26519711</v>
      </c>
      <c r="I16" s="201">
        <f>19028094+8443021</f>
        <v>27471115</v>
      </c>
      <c r="J16" s="201">
        <v>0</v>
      </c>
      <c r="K16" s="201">
        <f t="shared" si="1"/>
        <v>27471115</v>
      </c>
      <c r="L16" s="258">
        <f t="shared" ref="L16:L21" si="2">K16-H16</f>
        <v>951404</v>
      </c>
    </row>
    <row r="17" spans="1:15" s="90" customFormat="1" ht="17.100000000000001" customHeight="1" x14ac:dyDescent="0.25">
      <c r="A17" s="93" t="s">
        <v>7</v>
      </c>
      <c r="B17" s="83" t="s">
        <v>297</v>
      </c>
      <c r="C17" s="83" t="s">
        <v>298</v>
      </c>
      <c r="D17" s="94">
        <v>0.95</v>
      </c>
      <c r="E17" s="201">
        <v>19186162</v>
      </c>
      <c r="F17" s="201">
        <v>0</v>
      </c>
      <c r="G17" s="201">
        <v>0</v>
      </c>
      <c r="H17" s="201">
        <f t="shared" ref="H17:H33" si="3">SUM(E17:G17)</f>
        <v>19186162</v>
      </c>
      <c r="I17" s="201">
        <v>20195960</v>
      </c>
      <c r="J17" s="201">
        <v>0</v>
      </c>
      <c r="K17" s="201">
        <f t="shared" si="1"/>
        <v>20195960</v>
      </c>
      <c r="L17" s="258">
        <f t="shared" si="2"/>
        <v>1009798</v>
      </c>
    </row>
    <row r="18" spans="1:15" s="90" customFormat="1" ht="17.100000000000001" customHeight="1" x14ac:dyDescent="0.25">
      <c r="A18" s="93" t="s">
        <v>27</v>
      </c>
      <c r="B18" s="83" t="s">
        <v>299</v>
      </c>
      <c r="C18" s="83" t="s">
        <v>300</v>
      </c>
      <c r="D18" s="94">
        <v>0.95</v>
      </c>
      <c r="E18" s="201">
        <f>16224418+6988589</f>
        <v>23213007</v>
      </c>
      <c r="F18" s="201">
        <v>0</v>
      </c>
      <c r="G18" s="201">
        <v>0</v>
      </c>
      <c r="H18" s="201">
        <f t="shared" si="3"/>
        <v>23213007</v>
      </c>
      <c r="I18" s="201">
        <f>17078335+6988589</f>
        <v>24066924</v>
      </c>
      <c r="J18" s="201">
        <v>0</v>
      </c>
      <c r="K18" s="201">
        <f t="shared" si="1"/>
        <v>24066924</v>
      </c>
      <c r="L18" s="258">
        <f t="shared" si="2"/>
        <v>853917</v>
      </c>
    </row>
    <row r="19" spans="1:15" s="90" customFormat="1" ht="17.100000000000001" customHeight="1" x14ac:dyDescent="0.25">
      <c r="A19" s="93" t="s">
        <v>81</v>
      </c>
      <c r="B19" s="214" t="s">
        <v>301</v>
      </c>
      <c r="C19" s="83" t="s">
        <v>302</v>
      </c>
      <c r="D19" s="94">
        <v>0.95</v>
      </c>
      <c r="E19" s="201">
        <v>20715791</v>
      </c>
      <c r="F19" s="201">
        <v>1360000</v>
      </c>
      <c r="G19" s="201">
        <v>0</v>
      </c>
      <c r="H19" s="201">
        <f t="shared" si="3"/>
        <v>22075791</v>
      </c>
      <c r="I19" s="201">
        <v>21537675</v>
      </c>
      <c r="J19" s="201">
        <v>1700000</v>
      </c>
      <c r="K19" s="201">
        <f t="shared" si="1"/>
        <v>23237675</v>
      </c>
      <c r="L19" s="258">
        <f t="shared" si="2"/>
        <v>1161884</v>
      </c>
    </row>
    <row r="20" spans="1:15" s="261" customFormat="1" ht="17.100000000000001" customHeight="1" x14ac:dyDescent="0.25">
      <c r="A20" s="93" t="s">
        <v>82</v>
      </c>
      <c r="B20" s="83" t="s">
        <v>207</v>
      </c>
      <c r="C20" s="83">
        <v>101035163</v>
      </c>
      <c r="D20" s="94">
        <v>0.65</v>
      </c>
      <c r="E20" s="201">
        <v>12600000</v>
      </c>
      <c r="F20" s="201">
        <v>1000000</v>
      </c>
      <c r="G20" s="201">
        <v>0</v>
      </c>
      <c r="H20" s="201">
        <f t="shared" si="3"/>
        <v>13600000</v>
      </c>
      <c r="I20" s="201">
        <v>16928352</v>
      </c>
      <c r="J20" s="201">
        <v>1000000</v>
      </c>
      <c r="K20" s="201">
        <f t="shared" si="1"/>
        <v>17928352</v>
      </c>
      <c r="L20" s="258">
        <f t="shared" si="2"/>
        <v>4328352</v>
      </c>
      <c r="M20" s="442"/>
    </row>
    <row r="21" spans="1:15" s="90" customFormat="1" ht="17.100000000000001" customHeight="1" x14ac:dyDescent="0.25">
      <c r="A21" s="93" t="s">
        <v>93</v>
      </c>
      <c r="B21" s="50" t="s">
        <v>226</v>
      </c>
      <c r="C21" s="50">
        <v>101074095</v>
      </c>
      <c r="D21" s="51">
        <v>0.9</v>
      </c>
      <c r="E21" s="201">
        <v>4682893</v>
      </c>
      <c r="F21" s="201">
        <v>0</v>
      </c>
      <c r="G21" s="201">
        <v>4398182</v>
      </c>
      <c r="H21" s="201">
        <f t="shared" si="3"/>
        <v>9081075</v>
      </c>
      <c r="I21" s="201">
        <v>10090083</v>
      </c>
      <c r="J21" s="201">
        <v>0</v>
      </c>
      <c r="K21" s="201">
        <f t="shared" si="1"/>
        <v>10090083</v>
      </c>
      <c r="L21" s="258">
        <f t="shared" si="2"/>
        <v>1009008</v>
      </c>
    </row>
    <row r="22" spans="1:15" s="90" customFormat="1" ht="17.100000000000001" customHeight="1" x14ac:dyDescent="0.25">
      <c r="A22" s="93" t="s">
        <v>128</v>
      </c>
      <c r="B22" s="214" t="s">
        <v>111</v>
      </c>
      <c r="C22" s="410" t="s">
        <v>151</v>
      </c>
      <c r="D22" s="94">
        <v>1</v>
      </c>
      <c r="E22" s="201">
        <v>0</v>
      </c>
      <c r="F22" s="201">
        <v>0</v>
      </c>
      <c r="G22" s="201">
        <v>0</v>
      </c>
      <c r="H22" s="201">
        <f t="shared" si="3"/>
        <v>0</v>
      </c>
      <c r="I22" s="201">
        <v>0</v>
      </c>
      <c r="J22" s="201">
        <v>0</v>
      </c>
      <c r="K22" s="201">
        <f t="shared" si="1"/>
        <v>0</v>
      </c>
      <c r="L22" s="258">
        <v>0</v>
      </c>
    </row>
    <row r="23" spans="1:15" s="261" customFormat="1" ht="17.100000000000001" customHeight="1" x14ac:dyDescent="0.25">
      <c r="A23" s="93" t="s">
        <v>129</v>
      </c>
      <c r="B23" s="214" t="s">
        <v>145</v>
      </c>
      <c r="C23" s="262" t="s">
        <v>152</v>
      </c>
      <c r="D23" s="94">
        <v>1</v>
      </c>
      <c r="E23" s="201">
        <v>0</v>
      </c>
      <c r="F23" s="201">
        <v>0</v>
      </c>
      <c r="G23" s="201">
        <v>41321847</v>
      </c>
      <c r="H23" s="201">
        <f t="shared" si="3"/>
        <v>41321847</v>
      </c>
      <c r="I23" s="201">
        <f>25326177-2190750-240315</f>
        <v>22895112</v>
      </c>
      <c r="J23" s="201">
        <f>15995670+2190750+240315</f>
        <v>18426735</v>
      </c>
      <c r="K23" s="201">
        <f t="shared" si="1"/>
        <v>41321847</v>
      </c>
      <c r="L23" s="258">
        <v>0</v>
      </c>
    </row>
    <row r="24" spans="1:15" ht="17.100000000000001" customHeight="1" x14ac:dyDescent="0.25">
      <c r="A24" s="93" t="s">
        <v>133</v>
      </c>
      <c r="B24" s="411" t="s">
        <v>166</v>
      </c>
      <c r="C24" s="410" t="s">
        <v>167</v>
      </c>
      <c r="D24" s="51">
        <v>1</v>
      </c>
      <c r="E24" s="201">
        <v>460293191</v>
      </c>
      <c r="F24" s="201">
        <v>0</v>
      </c>
      <c r="G24" s="201">
        <v>160072642</v>
      </c>
      <c r="H24" s="201">
        <f t="shared" si="3"/>
        <v>620365833</v>
      </c>
      <c r="I24" s="201">
        <v>568323749</v>
      </c>
      <c r="J24" s="201">
        <v>52042084</v>
      </c>
      <c r="K24" s="201">
        <f t="shared" si="1"/>
        <v>620365833</v>
      </c>
      <c r="L24" s="258">
        <v>0</v>
      </c>
    </row>
    <row r="25" spans="1:15" ht="17.100000000000001" customHeight="1" x14ac:dyDescent="0.25">
      <c r="A25" s="93" t="s">
        <v>149</v>
      </c>
      <c r="B25" s="411" t="s">
        <v>208</v>
      </c>
      <c r="C25" s="410" t="s">
        <v>209</v>
      </c>
      <c r="D25" s="51">
        <v>1</v>
      </c>
      <c r="E25" s="201">
        <v>36576000</v>
      </c>
      <c r="F25" s="201">
        <v>0</v>
      </c>
      <c r="G25" s="201">
        <v>46831173</v>
      </c>
      <c r="H25" s="201">
        <f t="shared" si="3"/>
        <v>83407173</v>
      </c>
      <c r="I25" s="201">
        <f>20265023-423750-1728000-10000</f>
        <v>18103273</v>
      </c>
      <c r="J25" s="201">
        <f>63142150+423750+1728000+10000</f>
        <v>65303900</v>
      </c>
      <c r="K25" s="201">
        <f t="shared" si="1"/>
        <v>83407173</v>
      </c>
      <c r="L25" s="258">
        <v>0</v>
      </c>
      <c r="M25" s="8"/>
      <c r="O25" s="8"/>
    </row>
    <row r="26" spans="1:15" ht="17.100000000000001" customHeight="1" x14ac:dyDescent="0.25">
      <c r="A26" s="93" t="s">
        <v>153</v>
      </c>
      <c r="B26" s="214" t="s">
        <v>227</v>
      </c>
      <c r="C26" s="392" t="s">
        <v>228</v>
      </c>
      <c r="D26" s="51">
        <v>1</v>
      </c>
      <c r="E26" s="201">
        <v>0</v>
      </c>
      <c r="F26" s="201">
        <v>0</v>
      </c>
      <c r="G26" s="201">
        <v>132800557</v>
      </c>
      <c r="H26" s="201">
        <f t="shared" si="3"/>
        <v>132800557</v>
      </c>
      <c r="I26" s="201">
        <v>105317335</v>
      </c>
      <c r="J26" s="201">
        <v>27483222</v>
      </c>
      <c r="K26" s="201">
        <f t="shared" si="1"/>
        <v>132800557</v>
      </c>
      <c r="L26" s="258">
        <v>0</v>
      </c>
      <c r="M26" s="8"/>
      <c r="O26" s="8"/>
    </row>
    <row r="27" spans="1:15" ht="17.100000000000001" customHeight="1" x14ac:dyDescent="0.25">
      <c r="A27" s="93" t="s">
        <v>154</v>
      </c>
      <c r="B27" s="411" t="s">
        <v>229</v>
      </c>
      <c r="C27" s="120" t="s">
        <v>230</v>
      </c>
      <c r="D27" s="51">
        <v>1</v>
      </c>
      <c r="E27" s="201">
        <v>0</v>
      </c>
      <c r="F27" s="201">
        <v>0</v>
      </c>
      <c r="G27" s="201">
        <v>74996893</v>
      </c>
      <c r="H27" s="201">
        <f t="shared" si="3"/>
        <v>74996893</v>
      </c>
      <c r="I27" s="201">
        <f>48766293-793730</f>
        <v>47972563</v>
      </c>
      <c r="J27" s="201">
        <f>26230600+793730</f>
        <v>27024330</v>
      </c>
      <c r="K27" s="201">
        <f t="shared" si="1"/>
        <v>74996893</v>
      </c>
      <c r="L27" s="258">
        <v>0</v>
      </c>
    </row>
    <row r="28" spans="1:15" ht="17.100000000000001" customHeight="1" x14ac:dyDescent="0.25">
      <c r="A28" s="93" t="s">
        <v>155</v>
      </c>
      <c r="B28" s="214" t="s">
        <v>173</v>
      </c>
      <c r="C28" s="262" t="s">
        <v>174</v>
      </c>
      <c r="D28" s="94">
        <v>1</v>
      </c>
      <c r="E28" s="201">
        <v>0</v>
      </c>
      <c r="F28" s="201">
        <v>0</v>
      </c>
      <c r="G28" s="201">
        <v>216635</v>
      </c>
      <c r="H28" s="201">
        <f t="shared" si="3"/>
        <v>216635</v>
      </c>
      <c r="I28" s="201">
        <f>216635+75201</f>
        <v>291836</v>
      </c>
      <c r="J28" s="201">
        <v>0</v>
      </c>
      <c r="K28" s="201">
        <f t="shared" si="1"/>
        <v>291836</v>
      </c>
      <c r="L28" s="258">
        <v>0</v>
      </c>
      <c r="M28" s="8"/>
    </row>
    <row r="29" spans="1:15" ht="17.100000000000001" customHeight="1" x14ac:dyDescent="0.25">
      <c r="A29" s="93" t="s">
        <v>156</v>
      </c>
      <c r="B29" s="214" t="s">
        <v>176</v>
      </c>
      <c r="C29" s="262" t="s">
        <v>177</v>
      </c>
      <c r="D29" s="94">
        <v>1</v>
      </c>
      <c r="E29" s="201">
        <v>0</v>
      </c>
      <c r="F29" s="201">
        <v>0</v>
      </c>
      <c r="G29" s="201">
        <v>246112</v>
      </c>
      <c r="H29" s="201">
        <f t="shared" si="3"/>
        <v>246112</v>
      </c>
      <c r="I29" s="201">
        <f>246112+19099</f>
        <v>265211</v>
      </c>
      <c r="J29" s="201">
        <v>0</v>
      </c>
      <c r="K29" s="201">
        <f t="shared" si="1"/>
        <v>265211</v>
      </c>
      <c r="L29" s="258">
        <v>0</v>
      </c>
      <c r="M29" s="8"/>
    </row>
    <row r="30" spans="1:15" ht="17.100000000000001" customHeight="1" x14ac:dyDescent="0.25">
      <c r="A30" s="93" t="s">
        <v>157</v>
      </c>
      <c r="B30" s="214" t="s">
        <v>179</v>
      </c>
      <c r="C30" s="262" t="s">
        <v>180</v>
      </c>
      <c r="D30" s="94">
        <v>1</v>
      </c>
      <c r="E30" s="201">
        <v>0</v>
      </c>
      <c r="F30" s="201">
        <v>0</v>
      </c>
      <c r="G30" s="443">
        <v>101369</v>
      </c>
      <c r="H30" s="263">
        <f t="shared" si="3"/>
        <v>101369</v>
      </c>
      <c r="I30" s="259">
        <v>101369</v>
      </c>
      <c r="J30" s="201">
        <v>0</v>
      </c>
      <c r="K30" s="263">
        <f t="shared" si="1"/>
        <v>101369</v>
      </c>
      <c r="L30" s="258">
        <v>0</v>
      </c>
      <c r="M30" s="8"/>
    </row>
    <row r="31" spans="1:15" ht="17.100000000000001" customHeight="1" x14ac:dyDescent="0.25">
      <c r="A31" s="93" t="s">
        <v>168</v>
      </c>
      <c r="B31" s="214" t="s">
        <v>181</v>
      </c>
      <c r="C31" s="262" t="s">
        <v>182</v>
      </c>
      <c r="D31" s="94">
        <v>1</v>
      </c>
      <c r="E31" s="259">
        <v>0</v>
      </c>
      <c r="F31" s="201">
        <v>0</v>
      </c>
      <c r="G31" s="443">
        <v>1065981</v>
      </c>
      <c r="H31" s="263">
        <f t="shared" si="3"/>
        <v>1065981</v>
      </c>
      <c r="I31" s="201">
        <v>1065981</v>
      </c>
      <c r="J31" s="253">
        <v>0</v>
      </c>
      <c r="K31" s="263">
        <f t="shared" si="1"/>
        <v>1065981</v>
      </c>
      <c r="L31" s="258">
        <v>0</v>
      </c>
      <c r="M31" s="8"/>
    </row>
    <row r="32" spans="1:15" ht="17.100000000000001" customHeight="1" x14ac:dyDescent="0.25">
      <c r="A32" s="93" t="s">
        <v>169</v>
      </c>
      <c r="B32" s="214" t="s">
        <v>183</v>
      </c>
      <c r="C32" s="262" t="s">
        <v>184</v>
      </c>
      <c r="D32" s="94">
        <v>1</v>
      </c>
      <c r="E32" s="259">
        <v>0</v>
      </c>
      <c r="F32" s="201">
        <v>0</v>
      </c>
      <c r="G32" s="443">
        <f>506676+175200</f>
        <v>681876</v>
      </c>
      <c r="H32" s="263">
        <f t="shared" si="3"/>
        <v>681876</v>
      </c>
      <c r="I32" s="259">
        <f>506676+175200</f>
        <v>681876</v>
      </c>
      <c r="J32" s="201">
        <v>0</v>
      </c>
      <c r="K32" s="263">
        <f t="shared" si="1"/>
        <v>681876</v>
      </c>
      <c r="L32" s="258">
        <v>0</v>
      </c>
      <c r="M32" s="8"/>
    </row>
    <row r="33" spans="1:13" ht="17.100000000000001" customHeight="1" x14ac:dyDescent="0.25">
      <c r="A33" s="93" t="s">
        <v>170</v>
      </c>
      <c r="B33" s="214" t="s">
        <v>186</v>
      </c>
      <c r="C33" s="444" t="s">
        <v>187</v>
      </c>
      <c r="D33" s="94">
        <v>1</v>
      </c>
      <c r="E33" s="201">
        <v>0</v>
      </c>
      <c r="F33" s="205">
        <v>0</v>
      </c>
      <c r="G33" s="443">
        <v>242816</v>
      </c>
      <c r="H33" s="263">
        <f t="shared" si="3"/>
        <v>242816</v>
      </c>
      <c r="I33" s="201">
        <f>242816+75200</f>
        <v>318016</v>
      </c>
      <c r="J33" s="253">
        <v>0</v>
      </c>
      <c r="K33" s="263">
        <f t="shared" si="1"/>
        <v>318016</v>
      </c>
      <c r="L33" s="258">
        <v>0</v>
      </c>
      <c r="M33" s="8"/>
    </row>
    <row r="34" spans="1:13" ht="17.100000000000001" customHeight="1" thickBot="1" x14ac:dyDescent="0.3">
      <c r="A34" s="590" t="s">
        <v>241</v>
      </c>
      <c r="B34" s="591"/>
      <c r="C34" s="591"/>
      <c r="D34" s="591"/>
      <c r="E34" s="274">
        <f t="shared" ref="E34:L34" si="4">SUM(E13:E33)</f>
        <v>650880827</v>
      </c>
      <c r="F34" s="274">
        <f t="shared" si="4"/>
        <v>2664000</v>
      </c>
      <c r="G34" s="274">
        <f t="shared" si="4"/>
        <v>463472550</v>
      </c>
      <c r="H34" s="274">
        <f t="shared" si="4"/>
        <v>1117017377</v>
      </c>
      <c r="I34" s="274">
        <f t="shared" si="4"/>
        <v>917345211</v>
      </c>
      <c r="J34" s="274">
        <f t="shared" si="4"/>
        <v>193513544</v>
      </c>
      <c r="K34" s="274">
        <f t="shared" si="4"/>
        <v>1110858755</v>
      </c>
      <c r="L34" s="314">
        <f t="shared" si="4"/>
        <v>10501978</v>
      </c>
    </row>
    <row r="35" spans="1:13" ht="17.100000000000001" customHeight="1" x14ac:dyDescent="0.25">
      <c r="A35" s="592" t="s">
        <v>242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4"/>
    </row>
    <row r="36" spans="1:13" ht="17.100000000000001" customHeight="1" x14ac:dyDescent="0.25">
      <c r="A36" s="49" t="s">
        <v>1</v>
      </c>
      <c r="B36" s="120" t="s">
        <v>111</v>
      </c>
      <c r="C36" s="121" t="s">
        <v>151</v>
      </c>
      <c r="D36" s="51">
        <v>1</v>
      </c>
      <c r="E36" s="112">
        <v>33900000</v>
      </c>
      <c r="F36" s="112">
        <v>0</v>
      </c>
      <c r="G36" s="112">
        <v>0</v>
      </c>
      <c r="H36" s="112">
        <f>E36+F36+G36</f>
        <v>33900000</v>
      </c>
      <c r="I36" s="112">
        <v>22503023</v>
      </c>
      <c r="J36" s="112">
        <v>0</v>
      </c>
      <c r="K36" s="112">
        <f>I36+J36</f>
        <v>22503023</v>
      </c>
      <c r="L36" s="117">
        <v>0</v>
      </c>
    </row>
    <row r="37" spans="1:13" ht="17.100000000000001" customHeight="1" thickBot="1" x14ac:dyDescent="0.3">
      <c r="A37" s="584" t="s">
        <v>243</v>
      </c>
      <c r="B37" s="585"/>
      <c r="C37" s="585"/>
      <c r="D37" s="585"/>
      <c r="E37" s="315">
        <f>SUM(E36)</f>
        <v>33900000</v>
      </c>
      <c r="F37" s="315">
        <f t="shared" ref="F37:L37" si="5">SUM(F36)</f>
        <v>0</v>
      </c>
      <c r="G37" s="315">
        <f t="shared" si="5"/>
        <v>0</v>
      </c>
      <c r="H37" s="315">
        <f t="shared" si="5"/>
        <v>33900000</v>
      </c>
      <c r="I37" s="315">
        <f t="shared" si="5"/>
        <v>22503023</v>
      </c>
      <c r="J37" s="315">
        <f t="shared" si="5"/>
        <v>0</v>
      </c>
      <c r="K37" s="315">
        <f t="shared" si="5"/>
        <v>22503023</v>
      </c>
      <c r="L37" s="316">
        <f t="shared" si="5"/>
        <v>0</v>
      </c>
    </row>
    <row r="38" spans="1:13" ht="17.100000000000001" customHeight="1" thickBot="1" x14ac:dyDescent="0.3">
      <c r="A38" s="567" t="s">
        <v>109</v>
      </c>
      <c r="B38" s="568"/>
      <c r="C38" s="568"/>
      <c r="D38" s="568"/>
      <c r="E38" s="445">
        <f>E34+E37</f>
        <v>684780827</v>
      </c>
      <c r="F38" s="445">
        <f t="shared" ref="F38" si="6">F34+F37</f>
        <v>2664000</v>
      </c>
      <c r="G38" s="445">
        <f>G34+G37</f>
        <v>463472550</v>
      </c>
      <c r="H38" s="445">
        <f t="shared" ref="H38" si="7">H34+H37</f>
        <v>1150917377</v>
      </c>
      <c r="I38" s="445">
        <f>I34+I37</f>
        <v>939848234</v>
      </c>
      <c r="J38" s="445">
        <f t="shared" ref="J38:L38" si="8">J34+J37</f>
        <v>193513544</v>
      </c>
      <c r="K38" s="445">
        <f>K34+K37</f>
        <v>1133361778</v>
      </c>
      <c r="L38" s="446">
        <f t="shared" si="8"/>
        <v>10501978</v>
      </c>
    </row>
    <row r="40" spans="1:13" ht="16.5" thickBot="1" x14ac:dyDescent="0.3">
      <c r="A40" s="46"/>
      <c r="B40" s="46"/>
      <c r="C40" s="46"/>
      <c r="D40" s="46"/>
      <c r="F40" s="3"/>
      <c r="G40" s="3"/>
      <c r="H40" s="3"/>
      <c r="I40" s="3"/>
      <c r="J40" s="257"/>
      <c r="K40" s="595" t="s">
        <v>201</v>
      </c>
      <c r="L40" s="595"/>
    </row>
    <row r="41" spans="1:13" ht="15.75" customHeight="1" x14ac:dyDescent="0.25">
      <c r="A41" s="574" t="s">
        <v>9</v>
      </c>
      <c r="B41" s="577" t="s">
        <v>96</v>
      </c>
      <c r="C41" s="577"/>
      <c r="D41" s="577"/>
      <c r="E41" s="579" t="s">
        <v>267</v>
      </c>
      <c r="F41" s="579"/>
      <c r="G41" s="579"/>
      <c r="H41" s="579"/>
      <c r="I41" s="579"/>
      <c r="J41" s="579"/>
      <c r="K41" s="579"/>
      <c r="L41" s="580" t="s">
        <v>99</v>
      </c>
    </row>
    <row r="42" spans="1:13" ht="15.75" customHeight="1" x14ac:dyDescent="0.25">
      <c r="A42" s="575"/>
      <c r="B42" s="578"/>
      <c r="C42" s="578"/>
      <c r="D42" s="578"/>
      <c r="E42" s="569" t="s">
        <v>97</v>
      </c>
      <c r="F42" s="569"/>
      <c r="G42" s="569"/>
      <c r="H42" s="569"/>
      <c r="I42" s="569" t="s">
        <v>98</v>
      </c>
      <c r="J42" s="569"/>
      <c r="K42" s="569"/>
      <c r="L42" s="581"/>
    </row>
    <row r="43" spans="1:13" ht="31.5" x14ac:dyDescent="0.25">
      <c r="A43" s="575"/>
      <c r="B43" s="578" t="s">
        <v>100</v>
      </c>
      <c r="C43" s="578" t="s">
        <v>101</v>
      </c>
      <c r="D43" s="588" t="s">
        <v>159</v>
      </c>
      <c r="E43" s="317" t="s">
        <v>102</v>
      </c>
      <c r="F43" s="317" t="s">
        <v>103</v>
      </c>
      <c r="G43" s="318" t="s">
        <v>104</v>
      </c>
      <c r="H43" s="317" t="s">
        <v>105</v>
      </c>
      <c r="I43" s="569" t="s">
        <v>106</v>
      </c>
      <c r="J43" s="569" t="s">
        <v>103</v>
      </c>
      <c r="K43" s="569" t="s">
        <v>105</v>
      </c>
      <c r="L43" s="581"/>
    </row>
    <row r="44" spans="1:13" ht="16.5" thickBot="1" x14ac:dyDescent="0.3">
      <c r="A44" s="576"/>
      <c r="B44" s="583"/>
      <c r="C44" s="583"/>
      <c r="D44" s="589"/>
      <c r="E44" s="570" t="s">
        <v>107</v>
      </c>
      <c r="F44" s="570"/>
      <c r="G44" s="570"/>
      <c r="H44" s="570"/>
      <c r="I44" s="570"/>
      <c r="J44" s="570"/>
      <c r="K44" s="570"/>
      <c r="L44" s="582"/>
    </row>
    <row r="45" spans="1:13" ht="17.100000000000001" customHeight="1" x14ac:dyDescent="0.25">
      <c r="A45" s="571" t="s">
        <v>240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3"/>
    </row>
    <row r="46" spans="1:13" s="90" customFormat="1" ht="17.100000000000001" customHeight="1" x14ac:dyDescent="0.25">
      <c r="A46" s="93" t="s">
        <v>1</v>
      </c>
      <c r="B46" s="83" t="s">
        <v>162</v>
      </c>
      <c r="C46" s="83" t="s">
        <v>163</v>
      </c>
      <c r="D46" s="94">
        <v>0.95</v>
      </c>
      <c r="E46" s="201">
        <v>10346114</v>
      </c>
      <c r="F46" s="201">
        <v>0</v>
      </c>
      <c r="G46" s="201">
        <v>211162</v>
      </c>
      <c r="H46" s="201">
        <f t="shared" ref="H46:H49" si="9">SUM(E46:G46)</f>
        <v>10557276</v>
      </c>
      <c r="I46" s="201">
        <v>1721486</v>
      </c>
      <c r="J46" s="201">
        <v>0</v>
      </c>
      <c r="K46" s="201">
        <f t="shared" ref="K46:K66" si="10">SUM(I46:J46)</f>
        <v>1721486</v>
      </c>
      <c r="L46" s="258">
        <v>86074</v>
      </c>
      <c r="M46" s="152"/>
    </row>
    <row r="47" spans="1:13" s="90" customFormat="1" ht="17.100000000000001" customHeight="1" x14ac:dyDescent="0.25">
      <c r="A47" s="93" t="s">
        <v>2</v>
      </c>
      <c r="B47" s="441" t="s">
        <v>164</v>
      </c>
      <c r="C47" s="441" t="s">
        <v>165</v>
      </c>
      <c r="D47" s="94">
        <v>0.95</v>
      </c>
      <c r="E47" s="201">
        <v>10703954</v>
      </c>
      <c r="F47" s="201">
        <v>0</v>
      </c>
      <c r="G47" s="201">
        <v>285305</v>
      </c>
      <c r="H47" s="201">
        <f t="shared" si="9"/>
        <v>10989259</v>
      </c>
      <c r="I47" s="201">
        <v>2852036</v>
      </c>
      <c r="J47" s="201">
        <v>0</v>
      </c>
      <c r="K47" s="201">
        <f t="shared" si="10"/>
        <v>2852036</v>
      </c>
      <c r="L47" s="258">
        <v>142602</v>
      </c>
      <c r="M47" s="152"/>
    </row>
    <row r="48" spans="1:13" s="261" customFormat="1" ht="17.100000000000001" customHeight="1" x14ac:dyDescent="0.25">
      <c r="A48" s="93" t="s">
        <v>4</v>
      </c>
      <c r="B48" s="83" t="s">
        <v>293</v>
      </c>
      <c r="C48" s="83" t="s">
        <v>294</v>
      </c>
      <c r="D48" s="94">
        <v>0.95</v>
      </c>
      <c r="E48" s="259">
        <v>11317884</v>
      </c>
      <c r="F48" s="201">
        <v>0</v>
      </c>
      <c r="G48" s="259">
        <v>0</v>
      </c>
      <c r="H48" s="259">
        <f t="shared" si="9"/>
        <v>11317884</v>
      </c>
      <c r="I48" s="259">
        <v>15126880</v>
      </c>
      <c r="J48" s="201">
        <v>533273</v>
      </c>
      <c r="K48" s="259">
        <f t="shared" si="10"/>
        <v>15660153</v>
      </c>
      <c r="L48" s="260">
        <v>783008</v>
      </c>
    </row>
    <row r="49" spans="1:15" s="90" customFormat="1" ht="17.100000000000001" customHeight="1" x14ac:dyDescent="0.25">
      <c r="A49" s="93" t="s">
        <v>5</v>
      </c>
      <c r="B49" s="83" t="s">
        <v>295</v>
      </c>
      <c r="C49" s="83" t="s">
        <v>296</v>
      </c>
      <c r="D49" s="94">
        <v>0.95</v>
      </c>
      <c r="E49" s="201">
        <v>11297235</v>
      </c>
      <c r="F49" s="201">
        <v>0</v>
      </c>
      <c r="G49" s="201">
        <v>0</v>
      </c>
      <c r="H49" s="201">
        <f t="shared" si="9"/>
        <v>11297235</v>
      </c>
      <c r="I49" s="201">
        <v>13837938</v>
      </c>
      <c r="J49" s="201">
        <v>0</v>
      </c>
      <c r="K49" s="201">
        <f t="shared" si="10"/>
        <v>13837938</v>
      </c>
      <c r="L49" s="258">
        <v>691897</v>
      </c>
    </row>
    <row r="50" spans="1:15" s="90" customFormat="1" ht="17.100000000000001" customHeight="1" x14ac:dyDescent="0.25">
      <c r="A50" s="93" t="s">
        <v>7</v>
      </c>
      <c r="B50" s="83" t="s">
        <v>297</v>
      </c>
      <c r="C50" s="83" t="s">
        <v>298</v>
      </c>
      <c r="D50" s="94">
        <v>0.95</v>
      </c>
      <c r="E50" s="201">
        <v>0</v>
      </c>
      <c r="F50" s="201">
        <v>0</v>
      </c>
      <c r="G50" s="201">
        <v>0</v>
      </c>
      <c r="H50" s="201">
        <f t="shared" ref="H50:H66" si="11">SUM(E50:G50)</f>
        <v>0</v>
      </c>
      <c r="I50" s="201">
        <v>13526002</v>
      </c>
      <c r="J50" s="201">
        <v>0</v>
      </c>
      <c r="K50" s="201">
        <f t="shared" si="10"/>
        <v>13526002</v>
      </c>
      <c r="L50" s="258">
        <v>676300</v>
      </c>
    </row>
    <row r="51" spans="1:15" s="90" customFormat="1" ht="17.100000000000001" customHeight="1" x14ac:dyDescent="0.25">
      <c r="A51" s="93" t="s">
        <v>27</v>
      </c>
      <c r="B51" s="83" t="s">
        <v>299</v>
      </c>
      <c r="C51" s="83" t="s">
        <v>300</v>
      </c>
      <c r="D51" s="94">
        <v>0.95</v>
      </c>
      <c r="E51" s="201">
        <v>9550339</v>
      </c>
      <c r="F51" s="201">
        <v>0</v>
      </c>
      <c r="G51" s="201">
        <v>0</v>
      </c>
      <c r="H51" s="201">
        <f t="shared" si="11"/>
        <v>9550339</v>
      </c>
      <c r="I51" s="201">
        <v>11524912</v>
      </c>
      <c r="J51" s="201">
        <v>0</v>
      </c>
      <c r="K51" s="201">
        <f t="shared" si="10"/>
        <v>11524912</v>
      </c>
      <c r="L51" s="258">
        <v>576246</v>
      </c>
    </row>
    <row r="52" spans="1:15" s="90" customFormat="1" ht="17.100000000000001" customHeight="1" x14ac:dyDescent="0.25">
      <c r="A52" s="93" t="s">
        <v>81</v>
      </c>
      <c r="B52" s="214" t="s">
        <v>301</v>
      </c>
      <c r="C52" s="83" t="s">
        <v>302</v>
      </c>
      <c r="D52" s="94">
        <v>0.95</v>
      </c>
      <c r="E52" s="201">
        <v>0</v>
      </c>
      <c r="F52" s="201">
        <v>0</v>
      </c>
      <c r="G52" s="201">
        <v>0</v>
      </c>
      <c r="H52" s="201">
        <f t="shared" si="11"/>
        <v>0</v>
      </c>
      <c r="I52" s="201">
        <v>10756798</v>
      </c>
      <c r="J52" s="201">
        <v>1109980</v>
      </c>
      <c r="K52" s="201">
        <f t="shared" si="10"/>
        <v>11866778</v>
      </c>
      <c r="L52" s="258">
        <v>593339</v>
      </c>
    </row>
    <row r="53" spans="1:15" s="261" customFormat="1" ht="17.100000000000001" customHeight="1" x14ac:dyDescent="0.25">
      <c r="A53" s="93" t="s">
        <v>82</v>
      </c>
      <c r="B53" s="83" t="s">
        <v>207</v>
      </c>
      <c r="C53" s="83">
        <v>101035163</v>
      </c>
      <c r="D53" s="94">
        <v>0.65</v>
      </c>
      <c r="E53" s="201">
        <v>11718592</v>
      </c>
      <c r="F53" s="201">
        <v>0</v>
      </c>
      <c r="G53" s="201">
        <v>0</v>
      </c>
      <c r="H53" s="201">
        <f t="shared" si="11"/>
        <v>11718592</v>
      </c>
      <c r="I53" s="201">
        <v>12422544</v>
      </c>
      <c r="J53" s="201">
        <v>0</v>
      </c>
      <c r="K53" s="201">
        <f t="shared" si="10"/>
        <v>12422544</v>
      </c>
      <c r="L53" s="258">
        <v>4127613</v>
      </c>
      <c r="M53" s="442"/>
    </row>
    <row r="54" spans="1:15" s="90" customFormat="1" ht="17.100000000000001" customHeight="1" x14ac:dyDescent="0.25">
      <c r="A54" s="93" t="s">
        <v>93</v>
      </c>
      <c r="B54" s="50" t="s">
        <v>226</v>
      </c>
      <c r="C54" s="50">
        <v>101074095</v>
      </c>
      <c r="D54" s="51">
        <v>0.9</v>
      </c>
      <c r="E54" s="201">
        <v>0</v>
      </c>
      <c r="F54" s="201">
        <v>0</v>
      </c>
      <c r="G54" s="201">
        <v>4398182</v>
      </c>
      <c r="H54" s="201">
        <f t="shared" si="11"/>
        <v>4398182</v>
      </c>
      <c r="I54" s="201">
        <v>4593021</v>
      </c>
      <c r="J54" s="201">
        <v>0</v>
      </c>
      <c r="K54" s="201">
        <f t="shared" si="10"/>
        <v>4593021</v>
      </c>
      <c r="L54" s="258">
        <v>459302</v>
      </c>
    </row>
    <row r="55" spans="1:15" s="90" customFormat="1" ht="17.100000000000001" customHeight="1" x14ac:dyDescent="0.25">
      <c r="A55" s="93" t="s">
        <v>128</v>
      </c>
      <c r="B55" s="214" t="s">
        <v>111</v>
      </c>
      <c r="C55" s="410" t="s">
        <v>151</v>
      </c>
      <c r="D55" s="94">
        <v>1</v>
      </c>
      <c r="E55" s="201">
        <v>0</v>
      </c>
      <c r="F55" s="201">
        <v>0</v>
      </c>
      <c r="G55" s="201">
        <v>0</v>
      </c>
      <c r="H55" s="201">
        <f t="shared" si="11"/>
        <v>0</v>
      </c>
      <c r="I55" s="201">
        <v>0</v>
      </c>
      <c r="J55" s="201">
        <v>0</v>
      </c>
      <c r="K55" s="201">
        <f t="shared" si="10"/>
        <v>0</v>
      </c>
      <c r="L55" s="258">
        <v>0</v>
      </c>
    </row>
    <row r="56" spans="1:15" s="261" customFormat="1" ht="17.100000000000001" customHeight="1" x14ac:dyDescent="0.25">
      <c r="A56" s="93" t="s">
        <v>129</v>
      </c>
      <c r="B56" s="214" t="s">
        <v>145</v>
      </c>
      <c r="C56" s="262" t="s">
        <v>152</v>
      </c>
      <c r="D56" s="94">
        <v>1</v>
      </c>
      <c r="E56" s="201">
        <v>0</v>
      </c>
      <c r="F56" s="201">
        <v>0</v>
      </c>
      <c r="G56" s="201">
        <v>41321847</v>
      </c>
      <c r="H56" s="201">
        <f t="shared" si="11"/>
        <v>41321847</v>
      </c>
      <c r="I56" s="201">
        <v>17400895</v>
      </c>
      <c r="J56" s="201">
        <v>18299735</v>
      </c>
      <c r="K56" s="201">
        <f t="shared" si="10"/>
        <v>35700630</v>
      </c>
      <c r="L56" s="258">
        <v>0</v>
      </c>
    </row>
    <row r="57" spans="1:15" ht="17.100000000000001" customHeight="1" x14ac:dyDescent="0.25">
      <c r="A57" s="93" t="s">
        <v>133</v>
      </c>
      <c r="B57" s="411" t="s">
        <v>166</v>
      </c>
      <c r="C57" s="410" t="s">
        <v>167</v>
      </c>
      <c r="D57" s="51">
        <v>1</v>
      </c>
      <c r="E57" s="201">
        <v>377789616</v>
      </c>
      <c r="F57" s="201">
        <v>0</v>
      </c>
      <c r="G57" s="201">
        <v>160072642</v>
      </c>
      <c r="H57" s="201">
        <f t="shared" si="11"/>
        <v>537862258</v>
      </c>
      <c r="I57" s="201">
        <v>441028655</v>
      </c>
      <c r="J57" s="201">
        <v>36732323</v>
      </c>
      <c r="K57" s="201">
        <f t="shared" si="10"/>
        <v>477760978</v>
      </c>
      <c r="L57" s="258">
        <v>0</v>
      </c>
    </row>
    <row r="58" spans="1:15" ht="17.100000000000001" customHeight="1" x14ac:dyDescent="0.25">
      <c r="A58" s="93" t="s">
        <v>149</v>
      </c>
      <c r="B58" s="411" t="s">
        <v>208</v>
      </c>
      <c r="C58" s="410" t="s">
        <v>209</v>
      </c>
      <c r="D58" s="51">
        <v>1</v>
      </c>
      <c r="E58" s="201">
        <v>0</v>
      </c>
      <c r="F58" s="201">
        <v>0</v>
      </c>
      <c r="G58" s="201">
        <v>46831173</v>
      </c>
      <c r="H58" s="201">
        <f t="shared" si="11"/>
        <v>46831173</v>
      </c>
      <c r="I58" s="201">
        <v>8154820</v>
      </c>
      <c r="J58" s="201">
        <v>55084255</v>
      </c>
      <c r="K58" s="201">
        <f t="shared" si="10"/>
        <v>63239075</v>
      </c>
      <c r="L58" s="258">
        <v>0</v>
      </c>
      <c r="M58" s="8"/>
      <c r="O58" s="8"/>
    </row>
    <row r="59" spans="1:15" ht="17.100000000000001" customHeight="1" x14ac:dyDescent="0.25">
      <c r="A59" s="93" t="s">
        <v>153</v>
      </c>
      <c r="B59" s="214" t="s">
        <v>227</v>
      </c>
      <c r="C59" s="392" t="s">
        <v>228</v>
      </c>
      <c r="D59" s="51">
        <v>1</v>
      </c>
      <c r="E59" s="201">
        <v>0</v>
      </c>
      <c r="F59" s="201">
        <v>0</v>
      </c>
      <c r="G59" s="201">
        <v>132800557</v>
      </c>
      <c r="H59" s="201">
        <f t="shared" si="11"/>
        <v>132800557</v>
      </c>
      <c r="I59" s="201">
        <v>6425619</v>
      </c>
      <c r="J59" s="201">
        <v>0</v>
      </c>
      <c r="K59" s="201">
        <f t="shared" si="10"/>
        <v>6425619</v>
      </c>
      <c r="L59" s="258">
        <v>0</v>
      </c>
      <c r="M59" s="8"/>
      <c r="O59" s="8"/>
    </row>
    <row r="60" spans="1:15" ht="17.100000000000001" customHeight="1" x14ac:dyDescent="0.25">
      <c r="A60" s="93" t="s">
        <v>154</v>
      </c>
      <c r="B60" s="411" t="s">
        <v>229</v>
      </c>
      <c r="C60" s="120" t="s">
        <v>230</v>
      </c>
      <c r="D60" s="51">
        <v>1</v>
      </c>
      <c r="E60" s="201">
        <v>0</v>
      </c>
      <c r="F60" s="201">
        <v>0</v>
      </c>
      <c r="G60" s="201">
        <v>74996893</v>
      </c>
      <c r="H60" s="201">
        <f t="shared" si="11"/>
        <v>74996893</v>
      </c>
      <c r="I60" s="201">
        <v>44769911</v>
      </c>
      <c r="J60" s="201">
        <v>27024330</v>
      </c>
      <c r="K60" s="201">
        <f t="shared" si="10"/>
        <v>71794241</v>
      </c>
      <c r="L60" s="258">
        <v>0</v>
      </c>
    </row>
    <row r="61" spans="1:15" ht="17.100000000000001" customHeight="1" x14ac:dyDescent="0.25">
      <c r="A61" s="93" t="s">
        <v>155</v>
      </c>
      <c r="B61" s="214" t="s">
        <v>173</v>
      </c>
      <c r="C61" s="262" t="s">
        <v>174</v>
      </c>
      <c r="D61" s="94">
        <v>1</v>
      </c>
      <c r="E61" s="201">
        <v>0</v>
      </c>
      <c r="F61" s="201">
        <v>0</v>
      </c>
      <c r="G61" s="201">
        <v>216635</v>
      </c>
      <c r="H61" s="201">
        <f t="shared" si="11"/>
        <v>216635</v>
      </c>
      <c r="I61" s="201">
        <v>99841</v>
      </c>
      <c r="J61" s="201">
        <v>0</v>
      </c>
      <c r="K61" s="201">
        <f t="shared" si="10"/>
        <v>99841</v>
      </c>
      <c r="L61" s="258">
        <v>0</v>
      </c>
      <c r="M61" s="8"/>
    </row>
    <row r="62" spans="1:15" ht="17.100000000000001" customHeight="1" x14ac:dyDescent="0.25">
      <c r="A62" s="93" t="s">
        <v>156</v>
      </c>
      <c r="B62" s="214" t="s">
        <v>176</v>
      </c>
      <c r="C62" s="262" t="s">
        <v>177</v>
      </c>
      <c r="D62" s="94">
        <v>1</v>
      </c>
      <c r="E62" s="201">
        <v>0</v>
      </c>
      <c r="F62" s="201">
        <v>0</v>
      </c>
      <c r="G62" s="201">
        <v>246112</v>
      </c>
      <c r="H62" s="201">
        <f t="shared" si="11"/>
        <v>246112</v>
      </c>
      <c r="I62" s="201">
        <v>265213</v>
      </c>
      <c r="J62" s="201">
        <v>0</v>
      </c>
      <c r="K62" s="201">
        <f t="shared" si="10"/>
        <v>265213</v>
      </c>
      <c r="L62" s="258">
        <v>0</v>
      </c>
      <c r="M62" s="8"/>
    </row>
    <row r="63" spans="1:15" ht="17.100000000000001" customHeight="1" x14ac:dyDescent="0.25">
      <c r="A63" s="93" t="s">
        <v>157</v>
      </c>
      <c r="B63" s="214" t="s">
        <v>179</v>
      </c>
      <c r="C63" s="262" t="s">
        <v>180</v>
      </c>
      <c r="D63" s="94">
        <v>1</v>
      </c>
      <c r="E63" s="201">
        <v>0</v>
      </c>
      <c r="F63" s="201">
        <v>0</v>
      </c>
      <c r="G63" s="443">
        <v>101369</v>
      </c>
      <c r="H63" s="263">
        <f t="shared" si="11"/>
        <v>101369</v>
      </c>
      <c r="I63" s="259">
        <v>101369</v>
      </c>
      <c r="J63" s="201">
        <v>0</v>
      </c>
      <c r="K63" s="263">
        <f t="shared" si="10"/>
        <v>101369</v>
      </c>
      <c r="L63" s="258">
        <v>0</v>
      </c>
      <c r="M63" s="8"/>
    </row>
    <row r="64" spans="1:15" ht="17.100000000000001" customHeight="1" x14ac:dyDescent="0.25">
      <c r="A64" s="93" t="s">
        <v>168</v>
      </c>
      <c r="B64" s="214" t="s">
        <v>181</v>
      </c>
      <c r="C64" s="262" t="s">
        <v>182</v>
      </c>
      <c r="D64" s="94">
        <v>1</v>
      </c>
      <c r="E64" s="259">
        <v>0</v>
      </c>
      <c r="F64" s="201">
        <v>0</v>
      </c>
      <c r="G64" s="443">
        <v>1065981</v>
      </c>
      <c r="H64" s="263">
        <f t="shared" si="11"/>
        <v>1065981</v>
      </c>
      <c r="I64" s="201">
        <v>968633</v>
      </c>
      <c r="J64" s="253">
        <v>0</v>
      </c>
      <c r="K64" s="263">
        <f t="shared" si="10"/>
        <v>968633</v>
      </c>
      <c r="L64" s="258">
        <v>0</v>
      </c>
      <c r="M64" s="8"/>
    </row>
    <row r="65" spans="1:13" ht="17.100000000000001" customHeight="1" x14ac:dyDescent="0.25">
      <c r="A65" s="93" t="s">
        <v>169</v>
      </c>
      <c r="B65" s="214" t="s">
        <v>183</v>
      </c>
      <c r="C65" s="262" t="s">
        <v>184</v>
      </c>
      <c r="D65" s="94">
        <v>1</v>
      </c>
      <c r="E65" s="259">
        <v>0</v>
      </c>
      <c r="F65" s="201">
        <v>0</v>
      </c>
      <c r="G65" s="443">
        <f>506676+175200</f>
        <v>681876</v>
      </c>
      <c r="H65" s="263">
        <f t="shared" si="11"/>
        <v>681876</v>
      </c>
      <c r="I65" s="259">
        <v>681875</v>
      </c>
      <c r="J65" s="201">
        <v>0</v>
      </c>
      <c r="K65" s="263">
        <f t="shared" si="10"/>
        <v>681875</v>
      </c>
      <c r="L65" s="258">
        <v>0</v>
      </c>
      <c r="M65" s="8"/>
    </row>
    <row r="66" spans="1:13" ht="17.100000000000001" customHeight="1" x14ac:dyDescent="0.25">
      <c r="A66" s="93" t="s">
        <v>170</v>
      </c>
      <c r="B66" s="214" t="s">
        <v>186</v>
      </c>
      <c r="C66" s="444" t="s">
        <v>187</v>
      </c>
      <c r="D66" s="94">
        <v>1</v>
      </c>
      <c r="E66" s="201">
        <v>0</v>
      </c>
      <c r="F66" s="205">
        <v>0</v>
      </c>
      <c r="G66" s="443">
        <v>242816</v>
      </c>
      <c r="H66" s="263">
        <f t="shared" si="11"/>
        <v>242816</v>
      </c>
      <c r="I66" s="201">
        <v>318015</v>
      </c>
      <c r="J66" s="253">
        <v>0</v>
      </c>
      <c r="K66" s="263">
        <f t="shared" si="10"/>
        <v>318015</v>
      </c>
      <c r="L66" s="258">
        <v>0</v>
      </c>
      <c r="M66" s="8"/>
    </row>
    <row r="67" spans="1:13" ht="17.100000000000001" customHeight="1" thickBot="1" x14ac:dyDescent="0.3">
      <c r="A67" s="590" t="s">
        <v>241</v>
      </c>
      <c r="B67" s="591"/>
      <c r="C67" s="591"/>
      <c r="D67" s="591"/>
      <c r="E67" s="274">
        <f t="shared" ref="E67:L67" si="12">SUM(E46:E66)</f>
        <v>442723734</v>
      </c>
      <c r="F67" s="274">
        <f t="shared" si="12"/>
        <v>0</v>
      </c>
      <c r="G67" s="274">
        <f t="shared" si="12"/>
        <v>463472550</v>
      </c>
      <c r="H67" s="274">
        <f t="shared" si="12"/>
        <v>906196284</v>
      </c>
      <c r="I67" s="274">
        <f t="shared" si="12"/>
        <v>606576463</v>
      </c>
      <c r="J67" s="274">
        <f t="shared" si="12"/>
        <v>138783896</v>
      </c>
      <c r="K67" s="274">
        <f t="shared" si="12"/>
        <v>745360359</v>
      </c>
      <c r="L67" s="314">
        <f t="shared" si="12"/>
        <v>8136381</v>
      </c>
    </row>
    <row r="68" spans="1:13" ht="17.100000000000001" customHeight="1" x14ac:dyDescent="0.25">
      <c r="A68" s="592" t="s">
        <v>242</v>
      </c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4"/>
    </row>
    <row r="69" spans="1:13" ht="17.100000000000001" customHeight="1" x14ac:dyDescent="0.25">
      <c r="A69" s="49" t="s">
        <v>1</v>
      </c>
      <c r="B69" s="120" t="s">
        <v>111</v>
      </c>
      <c r="C69" s="121" t="s">
        <v>151</v>
      </c>
      <c r="D69" s="51">
        <v>1</v>
      </c>
      <c r="E69" s="112">
        <v>33900000</v>
      </c>
      <c r="F69" s="112">
        <v>0</v>
      </c>
      <c r="G69" s="112">
        <v>0</v>
      </c>
      <c r="H69" s="112">
        <f>E69+F69+G69</f>
        <v>33900000</v>
      </c>
      <c r="I69" s="112">
        <v>17083378</v>
      </c>
      <c r="J69" s="112">
        <v>0</v>
      </c>
      <c r="K69" s="112">
        <f>I69+J69</f>
        <v>17083378</v>
      </c>
      <c r="L69" s="117">
        <v>0</v>
      </c>
    </row>
    <row r="70" spans="1:13" ht="17.100000000000001" customHeight="1" thickBot="1" x14ac:dyDescent="0.3">
      <c r="A70" s="584" t="s">
        <v>243</v>
      </c>
      <c r="B70" s="585"/>
      <c r="C70" s="585"/>
      <c r="D70" s="585"/>
      <c r="E70" s="315">
        <f>SUM(E69)</f>
        <v>33900000</v>
      </c>
      <c r="F70" s="315">
        <f t="shared" ref="F70:L70" si="13">SUM(F69)</f>
        <v>0</v>
      </c>
      <c r="G70" s="315">
        <f t="shared" si="13"/>
        <v>0</v>
      </c>
      <c r="H70" s="315">
        <f t="shared" si="13"/>
        <v>33900000</v>
      </c>
      <c r="I70" s="315">
        <f t="shared" si="13"/>
        <v>17083378</v>
      </c>
      <c r="J70" s="315">
        <f t="shared" si="13"/>
        <v>0</v>
      </c>
      <c r="K70" s="315">
        <f t="shared" si="13"/>
        <v>17083378</v>
      </c>
      <c r="L70" s="316">
        <f t="shared" si="13"/>
        <v>0</v>
      </c>
    </row>
    <row r="71" spans="1:13" ht="17.100000000000001" customHeight="1" thickBot="1" x14ac:dyDescent="0.3">
      <c r="A71" s="567" t="s">
        <v>109</v>
      </c>
      <c r="B71" s="568"/>
      <c r="C71" s="568"/>
      <c r="D71" s="568"/>
      <c r="E71" s="445">
        <f>E67+E70</f>
        <v>476623734</v>
      </c>
      <c r="F71" s="445">
        <f t="shared" ref="F71" si="14">F67+F70</f>
        <v>0</v>
      </c>
      <c r="G71" s="445">
        <f>G67+G70</f>
        <v>463472550</v>
      </c>
      <c r="H71" s="445">
        <f t="shared" ref="H71" si="15">H67+H70</f>
        <v>940096284</v>
      </c>
      <c r="I71" s="445">
        <f>I67+I70</f>
        <v>623659841</v>
      </c>
      <c r="J71" s="445">
        <f t="shared" ref="J71" si="16">J67+J70</f>
        <v>138783896</v>
      </c>
      <c r="K71" s="445">
        <f>K67+K70</f>
        <v>762443737</v>
      </c>
      <c r="L71" s="446">
        <f t="shared" ref="L71" si="17">L67+L70</f>
        <v>8136381</v>
      </c>
    </row>
  </sheetData>
  <mergeCells count="42">
    <mergeCell ref="A34:D34"/>
    <mergeCell ref="A35:L35"/>
    <mergeCell ref="A37:D37"/>
    <mergeCell ref="A67:D67"/>
    <mergeCell ref="A68:L68"/>
    <mergeCell ref="D43:D44"/>
    <mergeCell ref="I43:I44"/>
    <mergeCell ref="K40:L40"/>
    <mergeCell ref="A38:D38"/>
    <mergeCell ref="A12:L12"/>
    <mergeCell ref="A8:A11"/>
    <mergeCell ref="B8:D9"/>
    <mergeCell ref="E8:K8"/>
    <mergeCell ref="L8:L11"/>
    <mergeCell ref="E9:H9"/>
    <mergeCell ref="I9:K9"/>
    <mergeCell ref="B10:B11"/>
    <mergeCell ref="C10:C11"/>
    <mergeCell ref="D10:D11"/>
    <mergeCell ref="I10:I11"/>
    <mergeCell ref="J10:J11"/>
    <mergeCell ref="K10:K11"/>
    <mergeCell ref="E11:H11"/>
    <mergeCell ref="F1:L1"/>
    <mergeCell ref="A3:L3"/>
    <mergeCell ref="A4:L4"/>
    <mergeCell ref="A5:L5"/>
    <mergeCell ref="K7:L7"/>
    <mergeCell ref="A71:D71"/>
    <mergeCell ref="J43:J44"/>
    <mergeCell ref="K43:K44"/>
    <mergeCell ref="E44:H44"/>
    <mergeCell ref="A45:L45"/>
    <mergeCell ref="A41:A44"/>
    <mergeCell ref="B41:D42"/>
    <mergeCell ref="E41:K41"/>
    <mergeCell ref="L41:L44"/>
    <mergeCell ref="E42:H42"/>
    <mergeCell ref="I42:K42"/>
    <mergeCell ref="B43:B44"/>
    <mergeCell ref="C43:C44"/>
    <mergeCell ref="A70:D70"/>
  </mergeCells>
  <printOptions horizontalCentered="1"/>
  <pageMargins left="0.31496062992125984" right="0.31496062992125984" top="0" bottom="0" header="0.31496062992125984" footer="0.31496062992125984"/>
  <pageSetup paperSize="9" scale="79" orientation="landscape" r:id="rId1"/>
  <rowBreaks count="1" manualBreakCount="1">
    <brk id="39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66DC-E80D-46B9-95B3-5D4685E3503C}">
  <sheetPr>
    <tabColor theme="6" tint="0.59999389629810485"/>
  </sheetPr>
  <dimension ref="A1:L151"/>
  <sheetViews>
    <sheetView topLeftCell="A78" zoomScaleNormal="100" workbookViewId="0">
      <selection activeCell="O34" sqref="O34"/>
    </sheetView>
  </sheetViews>
  <sheetFormatPr defaultColWidth="9.140625" defaultRowHeight="15.75" x14ac:dyDescent="0.25"/>
  <cols>
    <col min="1" max="1" width="4.5703125" style="63" customWidth="1"/>
    <col min="2" max="2" width="15.7109375" style="63" customWidth="1"/>
    <col min="3" max="3" width="27.7109375" style="63" customWidth="1"/>
    <col min="4" max="4" width="8.7109375" style="63" customWidth="1"/>
    <col min="5" max="7" width="13.7109375" style="63" customWidth="1"/>
    <col min="8" max="9" width="12.7109375" style="63" customWidth="1"/>
    <col min="10" max="10" width="14.7109375" style="63" customWidth="1"/>
    <col min="11" max="11" width="11.28515625" style="63" customWidth="1"/>
    <col min="12" max="12" width="14.7109375" style="63" customWidth="1"/>
    <col min="13" max="16384" width="9.140625" style="63"/>
  </cols>
  <sheetData>
    <row r="1" spans="1:12" ht="18" customHeight="1" x14ac:dyDescent="0.25">
      <c r="E1" s="493" t="s">
        <v>260</v>
      </c>
      <c r="F1" s="493"/>
      <c r="G1" s="493"/>
      <c r="H1" s="493"/>
      <c r="I1" s="493"/>
      <c r="J1" s="493"/>
      <c r="K1" s="493"/>
      <c r="L1" s="493"/>
    </row>
    <row r="2" spans="1:12" ht="15" customHeight="1" x14ac:dyDescent="0.25">
      <c r="A2" s="105"/>
      <c r="B2" s="105"/>
      <c r="C2" s="105"/>
      <c r="D2" s="105"/>
      <c r="E2" s="105"/>
      <c r="F2" s="212"/>
      <c r="G2" s="212"/>
      <c r="H2" s="212"/>
      <c r="I2" s="212"/>
      <c r="J2" s="212"/>
      <c r="K2" s="212"/>
      <c r="L2" s="212"/>
    </row>
    <row r="3" spans="1:12" ht="15.95" customHeight="1" x14ac:dyDescent="0.25">
      <c r="A3" s="647" t="s">
        <v>238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s="106" customFormat="1" ht="15.95" customHeight="1" x14ac:dyDescent="0.25">
      <c r="A4" s="648" t="s">
        <v>158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</row>
    <row r="5" spans="1:12" s="64" customFormat="1" ht="15.95" customHeight="1" x14ac:dyDescent="0.25">
      <c r="A5" s="647" t="s">
        <v>257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2" s="64" customFormat="1" ht="15.95" customHeight="1" x14ac:dyDescent="0.25">
      <c r="A6" s="647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ht="18" customHeight="1" thickBot="1" x14ac:dyDescent="0.3">
      <c r="A7" s="116"/>
      <c r="B7" s="116"/>
      <c r="C7" s="116"/>
      <c r="D7" s="116"/>
      <c r="E7" s="116"/>
      <c r="H7" s="64"/>
      <c r="I7" s="64"/>
      <c r="J7" s="64"/>
      <c r="K7" s="649" t="s">
        <v>201</v>
      </c>
      <c r="L7" s="649"/>
    </row>
    <row r="8" spans="1:12" ht="18" customHeight="1" x14ac:dyDescent="0.25">
      <c r="A8" s="636" t="s">
        <v>9</v>
      </c>
      <c r="B8" s="639" t="s">
        <v>96</v>
      </c>
      <c r="C8" s="639"/>
      <c r="D8" s="639"/>
      <c r="E8" s="640" t="s">
        <v>266</v>
      </c>
      <c r="F8" s="640"/>
      <c r="G8" s="640"/>
      <c r="H8" s="640"/>
      <c r="I8" s="640"/>
      <c r="J8" s="640"/>
      <c r="K8" s="640"/>
      <c r="L8" s="641"/>
    </row>
    <row r="9" spans="1:12" ht="15" customHeight="1" x14ac:dyDescent="0.25">
      <c r="A9" s="637"/>
      <c r="B9" s="629"/>
      <c r="C9" s="629"/>
      <c r="D9" s="629"/>
      <c r="E9" s="631" t="s">
        <v>134</v>
      </c>
      <c r="F9" s="631"/>
      <c r="G9" s="631"/>
      <c r="H9" s="631"/>
      <c r="I9" s="631"/>
      <c r="J9" s="631"/>
      <c r="K9" s="629" t="s">
        <v>99</v>
      </c>
      <c r="L9" s="642" t="s">
        <v>105</v>
      </c>
    </row>
    <row r="10" spans="1:12" ht="15" customHeight="1" x14ac:dyDescent="0.25">
      <c r="A10" s="637"/>
      <c r="B10" s="629" t="s">
        <v>100</v>
      </c>
      <c r="C10" s="629" t="s">
        <v>101</v>
      </c>
      <c r="D10" s="627" t="s">
        <v>159</v>
      </c>
      <c r="E10" s="629" t="s">
        <v>135</v>
      </c>
      <c r="F10" s="631" t="s">
        <v>108</v>
      </c>
      <c r="G10" s="631"/>
      <c r="H10" s="631"/>
      <c r="I10" s="631"/>
      <c r="J10" s="631"/>
      <c r="K10" s="629"/>
      <c r="L10" s="642"/>
    </row>
    <row r="11" spans="1:12" ht="15" customHeight="1" x14ac:dyDescent="0.25">
      <c r="A11" s="637"/>
      <c r="B11" s="629"/>
      <c r="C11" s="629"/>
      <c r="D11" s="627"/>
      <c r="E11" s="629"/>
      <c r="F11" s="631" t="s">
        <v>188</v>
      </c>
      <c r="G11" s="631"/>
      <c r="H11" s="631" t="s">
        <v>189</v>
      </c>
      <c r="I11" s="633" t="s">
        <v>136</v>
      </c>
      <c r="J11" s="631" t="s">
        <v>105</v>
      </c>
      <c r="K11" s="629"/>
      <c r="L11" s="642"/>
    </row>
    <row r="12" spans="1:12" ht="15" customHeight="1" thickBot="1" x14ac:dyDescent="0.3">
      <c r="A12" s="638"/>
      <c r="B12" s="630"/>
      <c r="C12" s="630"/>
      <c r="D12" s="628"/>
      <c r="E12" s="630"/>
      <c r="F12" s="313" t="s">
        <v>190</v>
      </c>
      <c r="G12" s="313" t="s">
        <v>191</v>
      </c>
      <c r="H12" s="632"/>
      <c r="I12" s="634"/>
      <c r="J12" s="632"/>
      <c r="K12" s="630"/>
      <c r="L12" s="643"/>
    </row>
    <row r="13" spans="1:12" ht="15" customHeight="1" x14ac:dyDescent="0.25">
      <c r="A13" s="603" t="s">
        <v>1</v>
      </c>
      <c r="B13" s="624" t="s">
        <v>162</v>
      </c>
      <c r="C13" s="624" t="s">
        <v>163</v>
      </c>
      <c r="D13" s="612">
        <v>0.95</v>
      </c>
      <c r="E13" s="448" t="s">
        <v>137</v>
      </c>
      <c r="F13" s="108">
        <v>0</v>
      </c>
      <c r="G13" s="108">
        <f>1794875+5939655+2611584</f>
        <v>10346114</v>
      </c>
      <c r="H13" s="108">
        <v>0</v>
      </c>
      <c r="I13" s="108">
        <v>211162</v>
      </c>
      <c r="J13" s="108">
        <f>SUM(F13:I13)</f>
        <v>10557276</v>
      </c>
      <c r="K13" s="107">
        <v>105580</v>
      </c>
      <c r="L13" s="109">
        <f t="shared" ref="L13:L75" si="0">J13+K13</f>
        <v>10662856</v>
      </c>
    </row>
    <row r="14" spans="1:12" ht="15" customHeight="1" x14ac:dyDescent="0.25">
      <c r="A14" s="604"/>
      <c r="B14" s="625"/>
      <c r="C14" s="625"/>
      <c r="D14" s="613"/>
      <c r="E14" s="449" t="s">
        <v>138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/>
      <c r="L14" s="117">
        <f t="shared" si="0"/>
        <v>0</v>
      </c>
    </row>
    <row r="15" spans="1:12" ht="15" customHeight="1" thickBot="1" x14ac:dyDescent="0.3">
      <c r="A15" s="605"/>
      <c r="B15" s="626"/>
      <c r="C15" s="626"/>
      <c r="D15" s="614"/>
      <c r="E15" s="450" t="s">
        <v>105</v>
      </c>
      <c r="F15" s="374">
        <f t="shared" ref="F15:K15" si="1">SUM(F13:F14)</f>
        <v>0</v>
      </c>
      <c r="G15" s="374">
        <f t="shared" si="1"/>
        <v>10346114</v>
      </c>
      <c r="H15" s="374">
        <f t="shared" si="1"/>
        <v>0</v>
      </c>
      <c r="I15" s="374">
        <f t="shared" si="1"/>
        <v>211162</v>
      </c>
      <c r="J15" s="374">
        <f t="shared" si="1"/>
        <v>10557276</v>
      </c>
      <c r="K15" s="374">
        <f t="shared" si="1"/>
        <v>105580</v>
      </c>
      <c r="L15" s="375">
        <f t="shared" si="0"/>
        <v>10662856</v>
      </c>
    </row>
    <row r="16" spans="1:12" ht="15" customHeight="1" x14ac:dyDescent="0.25">
      <c r="A16" s="603" t="s">
        <v>2</v>
      </c>
      <c r="B16" s="624" t="s">
        <v>164</v>
      </c>
      <c r="C16" s="624" t="s">
        <v>165</v>
      </c>
      <c r="D16" s="612">
        <v>0.95</v>
      </c>
      <c r="E16" s="448" t="s">
        <v>137</v>
      </c>
      <c r="F16" s="108">
        <v>0</v>
      </c>
      <c r="G16" s="108">
        <f>2425093+4650313+3628548</f>
        <v>10703954</v>
      </c>
      <c r="H16" s="108">
        <v>0</v>
      </c>
      <c r="I16" s="108">
        <v>285305</v>
      </c>
      <c r="J16" s="108">
        <f>SUM(F16:I16)</f>
        <v>10989259</v>
      </c>
      <c r="K16" s="107">
        <v>142653</v>
      </c>
      <c r="L16" s="109">
        <f>J16+K16</f>
        <v>11131912</v>
      </c>
    </row>
    <row r="17" spans="1:12" ht="15" customHeight="1" x14ac:dyDescent="0.25">
      <c r="A17" s="604"/>
      <c r="B17" s="625"/>
      <c r="C17" s="625"/>
      <c r="D17" s="613"/>
      <c r="E17" s="449" t="s">
        <v>138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7">
        <f t="shared" si="0"/>
        <v>0</v>
      </c>
    </row>
    <row r="18" spans="1:12" ht="15" customHeight="1" thickBot="1" x14ac:dyDescent="0.3">
      <c r="A18" s="605"/>
      <c r="B18" s="626"/>
      <c r="C18" s="626"/>
      <c r="D18" s="614"/>
      <c r="E18" s="450" t="s">
        <v>105</v>
      </c>
      <c r="F18" s="374">
        <f t="shared" ref="F18:K18" si="2">SUM(F16:F17)</f>
        <v>0</v>
      </c>
      <c r="G18" s="374">
        <f t="shared" si="2"/>
        <v>10703954</v>
      </c>
      <c r="H18" s="374">
        <f t="shared" si="2"/>
        <v>0</v>
      </c>
      <c r="I18" s="374">
        <f t="shared" si="2"/>
        <v>285305</v>
      </c>
      <c r="J18" s="374">
        <f t="shared" si="2"/>
        <v>10989259</v>
      </c>
      <c r="K18" s="374">
        <f t="shared" si="2"/>
        <v>142653</v>
      </c>
      <c r="L18" s="375">
        <f t="shared" si="0"/>
        <v>11131912</v>
      </c>
    </row>
    <row r="19" spans="1:12" ht="15" customHeight="1" x14ac:dyDescent="0.25">
      <c r="A19" s="603" t="s">
        <v>4</v>
      </c>
      <c r="B19" s="624" t="s">
        <v>293</v>
      </c>
      <c r="C19" s="624" t="s">
        <v>294</v>
      </c>
      <c r="D19" s="612">
        <v>0.95</v>
      </c>
      <c r="E19" s="448" t="s">
        <v>137</v>
      </c>
      <c r="F19" s="108">
        <f>2818147+8499737</f>
        <v>11317884</v>
      </c>
      <c r="G19" s="108">
        <v>14726120</v>
      </c>
      <c r="H19" s="108">
        <v>304000</v>
      </c>
      <c r="I19" s="108">
        <v>0</v>
      </c>
      <c r="J19" s="108">
        <f>SUM(F19:I19)</f>
        <v>26348004</v>
      </c>
      <c r="K19" s="107">
        <v>939382</v>
      </c>
      <c r="L19" s="109">
        <f t="shared" si="0"/>
        <v>27287386</v>
      </c>
    </row>
    <row r="20" spans="1:12" ht="15" customHeight="1" x14ac:dyDescent="0.25">
      <c r="A20" s="604"/>
      <c r="B20" s="625"/>
      <c r="C20" s="625"/>
      <c r="D20" s="613"/>
      <c r="E20" s="449" t="s">
        <v>138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2">
        <v>0</v>
      </c>
      <c r="L20" s="117">
        <f t="shared" si="0"/>
        <v>0</v>
      </c>
    </row>
    <row r="21" spans="1:12" ht="15" customHeight="1" thickBot="1" x14ac:dyDescent="0.3">
      <c r="A21" s="605"/>
      <c r="B21" s="626"/>
      <c r="C21" s="626"/>
      <c r="D21" s="614"/>
      <c r="E21" s="450" t="s">
        <v>105</v>
      </c>
      <c r="F21" s="374">
        <f t="shared" ref="F21:K21" si="3">SUM(F19:F20)</f>
        <v>11317884</v>
      </c>
      <c r="G21" s="374">
        <f t="shared" si="3"/>
        <v>14726120</v>
      </c>
      <c r="H21" s="374">
        <f t="shared" si="3"/>
        <v>304000</v>
      </c>
      <c r="I21" s="374">
        <f t="shared" si="3"/>
        <v>0</v>
      </c>
      <c r="J21" s="374">
        <f t="shared" si="3"/>
        <v>26348004</v>
      </c>
      <c r="K21" s="374">
        <f t="shared" si="3"/>
        <v>939382</v>
      </c>
      <c r="L21" s="375">
        <f t="shared" si="0"/>
        <v>27287386</v>
      </c>
    </row>
    <row r="22" spans="1:12" s="265" customFormat="1" ht="15" customHeight="1" x14ac:dyDescent="0.25">
      <c r="A22" s="603" t="s">
        <v>5</v>
      </c>
      <c r="B22" s="624" t="s">
        <v>295</v>
      </c>
      <c r="C22" s="624" t="s">
        <v>296</v>
      </c>
      <c r="D22" s="612">
        <v>0.95</v>
      </c>
      <c r="E22" s="451" t="s">
        <v>137</v>
      </c>
      <c r="F22" s="108">
        <f>2854214+8443021</f>
        <v>11297235</v>
      </c>
      <c r="G22" s="108">
        <v>15222476</v>
      </c>
      <c r="H22" s="108">
        <v>0</v>
      </c>
      <c r="I22" s="108">
        <v>0</v>
      </c>
      <c r="J22" s="108">
        <f>SUM(F22:I22)</f>
        <v>26519711</v>
      </c>
      <c r="K22" s="108">
        <v>951404</v>
      </c>
      <c r="L22" s="267">
        <f t="shared" si="0"/>
        <v>27471115</v>
      </c>
    </row>
    <row r="23" spans="1:12" ht="15" customHeight="1" x14ac:dyDescent="0.25">
      <c r="A23" s="604"/>
      <c r="B23" s="625"/>
      <c r="C23" s="625"/>
      <c r="D23" s="613"/>
      <c r="E23" s="449" t="s">
        <v>138</v>
      </c>
      <c r="F23" s="112">
        <v>0</v>
      </c>
      <c r="G23" s="112">
        <v>0</v>
      </c>
      <c r="H23" s="112">
        <v>0</v>
      </c>
      <c r="I23" s="112"/>
      <c r="J23" s="112">
        <v>0</v>
      </c>
      <c r="K23" s="112">
        <v>0</v>
      </c>
      <c r="L23" s="117">
        <f t="shared" si="0"/>
        <v>0</v>
      </c>
    </row>
    <row r="24" spans="1:12" ht="15" customHeight="1" thickBot="1" x14ac:dyDescent="0.3">
      <c r="A24" s="605"/>
      <c r="B24" s="626"/>
      <c r="C24" s="626"/>
      <c r="D24" s="614"/>
      <c r="E24" s="450" t="s">
        <v>105</v>
      </c>
      <c r="F24" s="374">
        <f t="shared" ref="F24:K24" si="4">SUM(F22:F23)</f>
        <v>11297235</v>
      </c>
      <c r="G24" s="374">
        <f t="shared" si="4"/>
        <v>15222476</v>
      </c>
      <c r="H24" s="374">
        <f t="shared" si="4"/>
        <v>0</v>
      </c>
      <c r="I24" s="374">
        <f t="shared" si="4"/>
        <v>0</v>
      </c>
      <c r="J24" s="374">
        <f t="shared" si="4"/>
        <v>26519711</v>
      </c>
      <c r="K24" s="374">
        <f t="shared" si="4"/>
        <v>951404</v>
      </c>
      <c r="L24" s="375">
        <f t="shared" si="0"/>
        <v>27471115</v>
      </c>
    </row>
    <row r="25" spans="1:12" ht="15" customHeight="1" x14ac:dyDescent="0.25">
      <c r="A25" s="603" t="s">
        <v>7</v>
      </c>
      <c r="B25" s="624" t="s">
        <v>297</v>
      </c>
      <c r="C25" s="624" t="s">
        <v>298</v>
      </c>
      <c r="D25" s="612">
        <v>0.95</v>
      </c>
      <c r="E25" s="448" t="s">
        <v>137</v>
      </c>
      <c r="F25" s="108">
        <v>3029394</v>
      </c>
      <c r="G25" s="108">
        <v>16156768</v>
      </c>
      <c r="H25" s="108">
        <v>0</v>
      </c>
      <c r="I25" s="108">
        <v>0</v>
      </c>
      <c r="J25" s="108">
        <f>SUM(F25:I25)</f>
        <v>19186162</v>
      </c>
      <c r="K25" s="107">
        <v>1009798</v>
      </c>
      <c r="L25" s="109">
        <f t="shared" si="0"/>
        <v>20195960</v>
      </c>
    </row>
    <row r="26" spans="1:12" ht="15" customHeight="1" x14ac:dyDescent="0.25">
      <c r="A26" s="604"/>
      <c r="B26" s="625"/>
      <c r="C26" s="625"/>
      <c r="D26" s="613"/>
      <c r="E26" s="449" t="s">
        <v>138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7">
        <f t="shared" si="0"/>
        <v>0</v>
      </c>
    </row>
    <row r="27" spans="1:12" ht="15" customHeight="1" thickBot="1" x14ac:dyDescent="0.3">
      <c r="A27" s="605"/>
      <c r="B27" s="626"/>
      <c r="C27" s="626"/>
      <c r="D27" s="614"/>
      <c r="E27" s="450" t="s">
        <v>105</v>
      </c>
      <c r="F27" s="374">
        <f t="shared" ref="F27:K27" si="5">SUM(F25:F26)</f>
        <v>3029394</v>
      </c>
      <c r="G27" s="374">
        <f t="shared" si="5"/>
        <v>16156768</v>
      </c>
      <c r="H27" s="374">
        <f t="shared" si="5"/>
        <v>0</v>
      </c>
      <c r="I27" s="374">
        <f t="shared" si="5"/>
        <v>0</v>
      </c>
      <c r="J27" s="374">
        <f t="shared" si="5"/>
        <v>19186162</v>
      </c>
      <c r="K27" s="374">
        <f t="shared" si="5"/>
        <v>1009798</v>
      </c>
      <c r="L27" s="375">
        <f t="shared" si="0"/>
        <v>20195960</v>
      </c>
    </row>
    <row r="28" spans="1:12" ht="15" customHeight="1" x14ac:dyDescent="0.25">
      <c r="A28" s="603" t="s">
        <v>27</v>
      </c>
      <c r="B28" s="624" t="s">
        <v>299</v>
      </c>
      <c r="C28" s="624" t="s">
        <v>300</v>
      </c>
      <c r="D28" s="612">
        <v>0.95</v>
      </c>
      <c r="E28" s="448" t="s">
        <v>137</v>
      </c>
      <c r="F28" s="107">
        <f>2561750+6988589</f>
        <v>9550339</v>
      </c>
      <c r="G28" s="107">
        <v>13662668</v>
      </c>
      <c r="H28" s="107">
        <v>0</v>
      </c>
      <c r="I28" s="107">
        <v>0</v>
      </c>
      <c r="J28" s="107">
        <f>SUM(F28:I28)</f>
        <v>23213007</v>
      </c>
      <c r="K28" s="107">
        <v>853917</v>
      </c>
      <c r="L28" s="109">
        <f t="shared" si="0"/>
        <v>24066924</v>
      </c>
    </row>
    <row r="29" spans="1:12" ht="15" customHeight="1" x14ac:dyDescent="0.25">
      <c r="A29" s="604"/>
      <c r="B29" s="625"/>
      <c r="C29" s="625"/>
      <c r="D29" s="613"/>
      <c r="E29" s="449" t="s">
        <v>138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7">
        <f t="shared" si="0"/>
        <v>0</v>
      </c>
    </row>
    <row r="30" spans="1:12" ht="15" customHeight="1" thickBot="1" x14ac:dyDescent="0.3">
      <c r="A30" s="605"/>
      <c r="B30" s="626"/>
      <c r="C30" s="626"/>
      <c r="D30" s="614"/>
      <c r="E30" s="450" t="s">
        <v>105</v>
      </c>
      <c r="F30" s="374">
        <f t="shared" ref="F30:K30" si="6">SUM(F28:F29)</f>
        <v>9550339</v>
      </c>
      <c r="G30" s="374">
        <f t="shared" si="6"/>
        <v>13662668</v>
      </c>
      <c r="H30" s="374">
        <f t="shared" si="6"/>
        <v>0</v>
      </c>
      <c r="I30" s="374">
        <f t="shared" si="6"/>
        <v>0</v>
      </c>
      <c r="J30" s="374">
        <f t="shared" si="6"/>
        <v>23213007</v>
      </c>
      <c r="K30" s="374">
        <f t="shared" si="6"/>
        <v>853917</v>
      </c>
      <c r="L30" s="375">
        <f t="shared" si="0"/>
        <v>24066924</v>
      </c>
    </row>
    <row r="31" spans="1:12" s="265" customFormat="1" ht="15" customHeight="1" x14ac:dyDescent="0.25">
      <c r="A31" s="603" t="s">
        <v>81</v>
      </c>
      <c r="B31" s="607" t="s">
        <v>301</v>
      </c>
      <c r="C31" s="625" t="s">
        <v>302</v>
      </c>
      <c r="D31" s="613">
        <v>0.95</v>
      </c>
      <c r="E31" s="452" t="s">
        <v>137</v>
      </c>
      <c r="F31" s="107">
        <v>3485651</v>
      </c>
      <c r="G31" s="107">
        <v>17230140</v>
      </c>
      <c r="H31" s="107">
        <v>1360000</v>
      </c>
      <c r="I31" s="107">
        <v>0</v>
      </c>
      <c r="J31" s="107">
        <f>SUM(F31:I31)</f>
        <v>22075791</v>
      </c>
      <c r="K31" s="108">
        <v>1161884</v>
      </c>
      <c r="L31" s="264">
        <f t="shared" si="0"/>
        <v>23237675</v>
      </c>
    </row>
    <row r="32" spans="1:12" ht="15" customHeight="1" x14ac:dyDescent="0.25">
      <c r="A32" s="604"/>
      <c r="B32" s="607"/>
      <c r="C32" s="625"/>
      <c r="D32" s="613"/>
      <c r="E32" s="449" t="s">
        <v>138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7">
        <f t="shared" si="0"/>
        <v>0</v>
      </c>
    </row>
    <row r="33" spans="1:12" ht="15" customHeight="1" thickBot="1" x14ac:dyDescent="0.3">
      <c r="A33" s="605"/>
      <c r="B33" s="608"/>
      <c r="C33" s="626"/>
      <c r="D33" s="614"/>
      <c r="E33" s="450" t="s">
        <v>105</v>
      </c>
      <c r="F33" s="374">
        <f t="shared" ref="F33:K33" si="7">SUM(F31:F32)</f>
        <v>3485651</v>
      </c>
      <c r="G33" s="374">
        <f t="shared" si="7"/>
        <v>17230140</v>
      </c>
      <c r="H33" s="374">
        <f t="shared" si="7"/>
        <v>1360000</v>
      </c>
      <c r="I33" s="374">
        <f t="shared" si="7"/>
        <v>0</v>
      </c>
      <c r="J33" s="374">
        <f t="shared" si="7"/>
        <v>22075791</v>
      </c>
      <c r="K33" s="374">
        <f t="shared" si="7"/>
        <v>1161884</v>
      </c>
      <c r="L33" s="375">
        <f t="shared" si="0"/>
        <v>23237675</v>
      </c>
    </row>
    <row r="34" spans="1:12" s="265" customFormat="1" ht="15" customHeight="1" x14ac:dyDescent="0.25">
      <c r="A34" s="603" t="s">
        <v>82</v>
      </c>
      <c r="B34" s="607" t="s">
        <v>207</v>
      </c>
      <c r="C34" s="625">
        <v>101035163</v>
      </c>
      <c r="D34" s="613">
        <v>0.65</v>
      </c>
      <c r="E34" s="452" t="s">
        <v>137</v>
      </c>
      <c r="F34" s="107">
        <v>0</v>
      </c>
      <c r="G34" s="107">
        <v>12600000</v>
      </c>
      <c r="H34" s="107">
        <v>1000000</v>
      </c>
      <c r="I34" s="107">
        <v>0</v>
      </c>
      <c r="J34" s="107">
        <f>SUM(F34:I34)</f>
        <v>13600000</v>
      </c>
      <c r="K34" s="108">
        <v>4328352</v>
      </c>
      <c r="L34" s="264">
        <f t="shared" si="0"/>
        <v>17928352</v>
      </c>
    </row>
    <row r="35" spans="1:12" ht="15" customHeight="1" x14ac:dyDescent="0.25">
      <c r="A35" s="604"/>
      <c r="B35" s="607"/>
      <c r="C35" s="625"/>
      <c r="D35" s="613"/>
      <c r="E35" s="449" t="s">
        <v>138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7">
        <f t="shared" si="0"/>
        <v>0</v>
      </c>
    </row>
    <row r="36" spans="1:12" ht="15" customHeight="1" thickBot="1" x14ac:dyDescent="0.3">
      <c r="A36" s="605"/>
      <c r="B36" s="608"/>
      <c r="C36" s="626"/>
      <c r="D36" s="614"/>
      <c r="E36" s="450" t="s">
        <v>105</v>
      </c>
      <c r="F36" s="374">
        <f t="shared" ref="F36:K36" si="8">SUM(F34:F35)</f>
        <v>0</v>
      </c>
      <c r="G36" s="374">
        <f t="shared" si="8"/>
        <v>12600000</v>
      </c>
      <c r="H36" s="374">
        <f t="shared" si="8"/>
        <v>1000000</v>
      </c>
      <c r="I36" s="374">
        <f t="shared" si="8"/>
        <v>0</v>
      </c>
      <c r="J36" s="374">
        <f t="shared" si="8"/>
        <v>13600000</v>
      </c>
      <c r="K36" s="374">
        <f t="shared" si="8"/>
        <v>4328352</v>
      </c>
      <c r="L36" s="375">
        <f t="shared" si="0"/>
        <v>17928352</v>
      </c>
    </row>
    <row r="37" spans="1:12" s="265" customFormat="1" ht="15" customHeight="1" x14ac:dyDescent="0.25">
      <c r="A37" s="603" t="s">
        <v>93</v>
      </c>
      <c r="B37" s="606" t="s">
        <v>226</v>
      </c>
      <c r="C37" s="624">
        <v>101074095</v>
      </c>
      <c r="D37" s="612">
        <v>0.9</v>
      </c>
      <c r="E37" s="451" t="s">
        <v>137</v>
      </c>
      <c r="F37" s="107">
        <v>0</v>
      </c>
      <c r="G37" s="107">
        <v>4682893</v>
      </c>
      <c r="H37" s="107">
        <v>0</v>
      </c>
      <c r="I37" s="107">
        <v>4398182</v>
      </c>
      <c r="J37" s="107">
        <f>SUM(F37:I37)</f>
        <v>9081075</v>
      </c>
      <c r="K37" s="108">
        <v>1009008</v>
      </c>
      <c r="L37" s="267">
        <f t="shared" si="0"/>
        <v>10090083</v>
      </c>
    </row>
    <row r="38" spans="1:12" ht="15" customHeight="1" x14ac:dyDescent="0.25">
      <c r="A38" s="604"/>
      <c r="B38" s="607"/>
      <c r="C38" s="625"/>
      <c r="D38" s="613"/>
      <c r="E38" s="449" t="s">
        <v>138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7">
        <f t="shared" si="0"/>
        <v>0</v>
      </c>
    </row>
    <row r="39" spans="1:12" ht="15" customHeight="1" thickBot="1" x14ac:dyDescent="0.3">
      <c r="A39" s="605"/>
      <c r="B39" s="608"/>
      <c r="C39" s="626"/>
      <c r="D39" s="614"/>
      <c r="E39" s="450" t="s">
        <v>105</v>
      </c>
      <c r="F39" s="374">
        <f t="shared" ref="F39:K39" si="9">SUM(F37:F38)</f>
        <v>0</v>
      </c>
      <c r="G39" s="374">
        <f t="shared" si="9"/>
        <v>4682893</v>
      </c>
      <c r="H39" s="374">
        <f t="shared" si="9"/>
        <v>0</v>
      </c>
      <c r="I39" s="374">
        <f t="shared" si="9"/>
        <v>4398182</v>
      </c>
      <c r="J39" s="374">
        <f t="shared" si="9"/>
        <v>9081075</v>
      </c>
      <c r="K39" s="374">
        <f t="shared" si="9"/>
        <v>1009008</v>
      </c>
      <c r="L39" s="375">
        <f t="shared" si="0"/>
        <v>10090083</v>
      </c>
    </row>
    <row r="40" spans="1:12" ht="15" customHeight="1" x14ac:dyDescent="0.25">
      <c r="A40" s="604" t="s">
        <v>128</v>
      </c>
      <c r="B40" s="607" t="s">
        <v>111</v>
      </c>
      <c r="C40" s="622" t="s">
        <v>151</v>
      </c>
      <c r="D40" s="613">
        <v>1</v>
      </c>
      <c r="E40" s="453" t="s">
        <v>137</v>
      </c>
      <c r="F40" s="110">
        <f>33900000-33900000</f>
        <v>0</v>
      </c>
      <c r="G40" s="110">
        <v>0</v>
      </c>
      <c r="H40" s="110">
        <v>0</v>
      </c>
      <c r="I40" s="110">
        <v>0</v>
      </c>
      <c r="J40" s="110">
        <f>SUM(F40:I40)</f>
        <v>0</v>
      </c>
      <c r="K40" s="110">
        <v>0</v>
      </c>
      <c r="L40" s="111">
        <f t="shared" si="0"/>
        <v>0</v>
      </c>
    </row>
    <row r="41" spans="1:12" ht="15" customHeight="1" x14ac:dyDescent="0.25">
      <c r="A41" s="604"/>
      <c r="B41" s="607"/>
      <c r="C41" s="622"/>
      <c r="D41" s="613"/>
      <c r="E41" s="449" t="s">
        <v>138</v>
      </c>
      <c r="F41" s="112">
        <v>33900000</v>
      </c>
      <c r="G41" s="112">
        <v>0</v>
      </c>
      <c r="H41" s="112">
        <v>0</v>
      </c>
      <c r="I41" s="112">
        <v>0</v>
      </c>
      <c r="J41" s="110">
        <f>SUM(F41:I41)</f>
        <v>33900000</v>
      </c>
      <c r="K41" s="112">
        <v>0</v>
      </c>
      <c r="L41" s="117">
        <f t="shared" si="0"/>
        <v>33900000</v>
      </c>
    </row>
    <row r="42" spans="1:12" ht="15" customHeight="1" thickBot="1" x14ac:dyDescent="0.3">
      <c r="A42" s="605"/>
      <c r="B42" s="608"/>
      <c r="C42" s="623"/>
      <c r="D42" s="614"/>
      <c r="E42" s="450" t="s">
        <v>105</v>
      </c>
      <c r="F42" s="374">
        <f t="shared" ref="F42:K42" si="10">SUM(F40:F41)</f>
        <v>33900000</v>
      </c>
      <c r="G42" s="374">
        <f t="shared" si="10"/>
        <v>0</v>
      </c>
      <c r="H42" s="374">
        <f t="shared" si="10"/>
        <v>0</v>
      </c>
      <c r="I42" s="374">
        <f t="shared" si="10"/>
        <v>0</v>
      </c>
      <c r="J42" s="374">
        <f t="shared" si="10"/>
        <v>33900000</v>
      </c>
      <c r="K42" s="374">
        <f t="shared" si="10"/>
        <v>0</v>
      </c>
      <c r="L42" s="375">
        <f t="shared" si="0"/>
        <v>33900000</v>
      </c>
    </row>
    <row r="43" spans="1:12" ht="15" customHeight="1" x14ac:dyDescent="0.25">
      <c r="A43" s="603" t="s">
        <v>129</v>
      </c>
      <c r="B43" s="606" t="s">
        <v>145</v>
      </c>
      <c r="C43" s="609" t="s">
        <v>152</v>
      </c>
      <c r="D43" s="612">
        <v>1</v>
      </c>
      <c r="E43" s="448" t="s">
        <v>137</v>
      </c>
      <c r="F43" s="107">
        <v>0</v>
      </c>
      <c r="G43" s="107">
        <v>0</v>
      </c>
      <c r="H43" s="107">
        <v>0</v>
      </c>
      <c r="I43" s="107">
        <v>41321847</v>
      </c>
      <c r="J43" s="107">
        <f>SUM(F43:I43)</f>
        <v>41321847</v>
      </c>
      <c r="K43" s="107">
        <v>0</v>
      </c>
      <c r="L43" s="109">
        <f t="shared" si="0"/>
        <v>41321847</v>
      </c>
    </row>
    <row r="44" spans="1:12" ht="15" customHeight="1" x14ac:dyDescent="0.25">
      <c r="A44" s="604"/>
      <c r="B44" s="607"/>
      <c r="C44" s="610"/>
      <c r="D44" s="613"/>
      <c r="E44" s="449" t="s">
        <v>138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7">
        <f t="shared" si="0"/>
        <v>0</v>
      </c>
    </row>
    <row r="45" spans="1:12" ht="15" customHeight="1" thickBot="1" x14ac:dyDescent="0.3">
      <c r="A45" s="605"/>
      <c r="B45" s="608"/>
      <c r="C45" s="611"/>
      <c r="D45" s="614"/>
      <c r="E45" s="450" t="s">
        <v>105</v>
      </c>
      <c r="F45" s="374">
        <f t="shared" ref="F45:K45" si="11">SUM(F43:F44)</f>
        <v>0</v>
      </c>
      <c r="G45" s="374">
        <f t="shared" si="11"/>
        <v>0</v>
      </c>
      <c r="H45" s="374">
        <f t="shared" si="11"/>
        <v>0</v>
      </c>
      <c r="I45" s="374">
        <f t="shared" si="11"/>
        <v>41321847</v>
      </c>
      <c r="J45" s="374">
        <f t="shared" si="11"/>
        <v>41321847</v>
      </c>
      <c r="K45" s="374">
        <f t="shared" si="11"/>
        <v>0</v>
      </c>
      <c r="L45" s="375">
        <f t="shared" si="0"/>
        <v>41321847</v>
      </c>
    </row>
    <row r="46" spans="1:12" ht="15" customHeight="1" x14ac:dyDescent="0.25">
      <c r="A46" s="603" t="s">
        <v>133</v>
      </c>
      <c r="B46" s="620" t="s">
        <v>166</v>
      </c>
      <c r="C46" s="621" t="s">
        <v>167</v>
      </c>
      <c r="D46" s="612">
        <v>1</v>
      </c>
      <c r="E46" s="448" t="s">
        <v>137</v>
      </c>
      <c r="F46" s="107">
        <v>460293191</v>
      </c>
      <c r="G46" s="107">
        <v>0</v>
      </c>
      <c r="H46" s="107">
        <v>0</v>
      </c>
      <c r="I46" s="107">
        <v>160072642</v>
      </c>
      <c r="J46" s="107">
        <f>SUM(F46:I46)</f>
        <v>620365833</v>
      </c>
      <c r="K46" s="107">
        <v>0</v>
      </c>
      <c r="L46" s="109">
        <f t="shared" si="0"/>
        <v>620365833</v>
      </c>
    </row>
    <row r="47" spans="1:12" ht="15" customHeight="1" x14ac:dyDescent="0.25">
      <c r="A47" s="604"/>
      <c r="B47" s="618"/>
      <c r="C47" s="622"/>
      <c r="D47" s="613"/>
      <c r="E47" s="449" t="s">
        <v>138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7">
        <f t="shared" si="0"/>
        <v>0</v>
      </c>
    </row>
    <row r="48" spans="1:12" ht="15" customHeight="1" thickBot="1" x14ac:dyDescent="0.3">
      <c r="A48" s="605"/>
      <c r="B48" s="619"/>
      <c r="C48" s="623"/>
      <c r="D48" s="614"/>
      <c r="E48" s="450" t="s">
        <v>105</v>
      </c>
      <c r="F48" s="374">
        <f t="shared" ref="F48:K48" si="12">SUM(F46:F47)</f>
        <v>460293191</v>
      </c>
      <c r="G48" s="374">
        <f t="shared" si="12"/>
        <v>0</v>
      </c>
      <c r="H48" s="374">
        <f t="shared" si="12"/>
        <v>0</v>
      </c>
      <c r="I48" s="374">
        <f t="shared" si="12"/>
        <v>160072642</v>
      </c>
      <c r="J48" s="374">
        <f t="shared" si="12"/>
        <v>620365833</v>
      </c>
      <c r="K48" s="374">
        <f t="shared" si="12"/>
        <v>0</v>
      </c>
      <c r="L48" s="375">
        <f t="shared" si="0"/>
        <v>620365833</v>
      </c>
    </row>
    <row r="49" spans="1:12" ht="15" customHeight="1" x14ac:dyDescent="0.25">
      <c r="A49" s="603" t="s">
        <v>149</v>
      </c>
      <c r="B49" s="620" t="s">
        <v>208</v>
      </c>
      <c r="C49" s="621" t="s">
        <v>209</v>
      </c>
      <c r="D49" s="612">
        <v>1</v>
      </c>
      <c r="E49" s="448" t="s">
        <v>137</v>
      </c>
      <c r="F49" s="107">
        <v>36576000</v>
      </c>
      <c r="G49" s="107">
        <v>0</v>
      </c>
      <c r="H49" s="107">
        <v>0</v>
      </c>
      <c r="I49" s="107">
        <v>46831173</v>
      </c>
      <c r="J49" s="107">
        <f>SUM(F49:I49)</f>
        <v>83407173</v>
      </c>
      <c r="K49" s="107">
        <v>0</v>
      </c>
      <c r="L49" s="109">
        <f t="shared" si="0"/>
        <v>83407173</v>
      </c>
    </row>
    <row r="50" spans="1:12" ht="15" customHeight="1" x14ac:dyDescent="0.25">
      <c r="A50" s="604"/>
      <c r="B50" s="618"/>
      <c r="C50" s="622"/>
      <c r="D50" s="613"/>
      <c r="E50" s="449" t="s">
        <v>138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7">
        <f t="shared" si="0"/>
        <v>0</v>
      </c>
    </row>
    <row r="51" spans="1:12" ht="15" customHeight="1" thickBot="1" x14ac:dyDescent="0.3">
      <c r="A51" s="605"/>
      <c r="B51" s="619"/>
      <c r="C51" s="623"/>
      <c r="D51" s="614"/>
      <c r="E51" s="450" t="s">
        <v>105</v>
      </c>
      <c r="F51" s="374">
        <f t="shared" ref="F51:K51" si="13">SUM(F49:F50)</f>
        <v>36576000</v>
      </c>
      <c r="G51" s="374">
        <f t="shared" si="13"/>
        <v>0</v>
      </c>
      <c r="H51" s="374">
        <f t="shared" si="13"/>
        <v>0</v>
      </c>
      <c r="I51" s="374">
        <f t="shared" si="13"/>
        <v>46831173</v>
      </c>
      <c r="J51" s="374">
        <f t="shared" si="13"/>
        <v>83407173</v>
      </c>
      <c r="K51" s="374">
        <f t="shared" si="13"/>
        <v>0</v>
      </c>
      <c r="L51" s="375">
        <f t="shared" si="0"/>
        <v>83407173</v>
      </c>
    </row>
    <row r="52" spans="1:12" ht="15" customHeight="1" x14ac:dyDescent="0.25">
      <c r="A52" s="603" t="s">
        <v>153</v>
      </c>
      <c r="B52" s="606" t="s">
        <v>227</v>
      </c>
      <c r="C52" s="644" t="s">
        <v>228</v>
      </c>
      <c r="D52" s="612">
        <v>1</v>
      </c>
      <c r="E52" s="448" t="s">
        <v>137</v>
      </c>
      <c r="F52" s="107">
        <v>0</v>
      </c>
      <c r="G52" s="107">
        <v>0</v>
      </c>
      <c r="H52" s="107">
        <v>0</v>
      </c>
      <c r="I52" s="107">
        <v>132800557</v>
      </c>
      <c r="J52" s="107">
        <f>SUM(F52:I52)</f>
        <v>132800557</v>
      </c>
      <c r="K52" s="107">
        <v>0</v>
      </c>
      <c r="L52" s="109">
        <f t="shared" si="0"/>
        <v>132800557</v>
      </c>
    </row>
    <row r="53" spans="1:12" ht="15" customHeight="1" x14ac:dyDescent="0.25">
      <c r="A53" s="604"/>
      <c r="B53" s="607"/>
      <c r="C53" s="645"/>
      <c r="D53" s="613"/>
      <c r="E53" s="449" t="s">
        <v>138</v>
      </c>
      <c r="F53" s="112">
        <v>0</v>
      </c>
      <c r="G53" s="112">
        <v>0</v>
      </c>
      <c r="H53" s="112">
        <v>0</v>
      </c>
      <c r="I53" s="112">
        <v>0</v>
      </c>
      <c r="J53" s="110">
        <f>SUM(F53:I53)</f>
        <v>0</v>
      </c>
      <c r="K53" s="112">
        <v>0</v>
      </c>
      <c r="L53" s="117">
        <f t="shared" si="0"/>
        <v>0</v>
      </c>
    </row>
    <row r="54" spans="1:12" ht="15" customHeight="1" thickBot="1" x14ac:dyDescent="0.3">
      <c r="A54" s="605"/>
      <c r="B54" s="608"/>
      <c r="C54" s="646"/>
      <c r="D54" s="614"/>
      <c r="E54" s="450" t="s">
        <v>105</v>
      </c>
      <c r="F54" s="374">
        <f t="shared" ref="F54:K54" si="14">SUM(F52:F53)</f>
        <v>0</v>
      </c>
      <c r="G54" s="374">
        <f t="shared" si="14"/>
        <v>0</v>
      </c>
      <c r="H54" s="374">
        <f t="shared" si="14"/>
        <v>0</v>
      </c>
      <c r="I54" s="374">
        <f t="shared" si="14"/>
        <v>132800557</v>
      </c>
      <c r="J54" s="374">
        <f t="shared" si="14"/>
        <v>132800557</v>
      </c>
      <c r="K54" s="374">
        <f t="shared" si="14"/>
        <v>0</v>
      </c>
      <c r="L54" s="375">
        <f t="shared" si="0"/>
        <v>132800557</v>
      </c>
    </row>
    <row r="55" spans="1:12" ht="15" customHeight="1" x14ac:dyDescent="0.25">
      <c r="A55" s="603" t="s">
        <v>154</v>
      </c>
      <c r="B55" s="606" t="s">
        <v>229</v>
      </c>
      <c r="C55" s="644" t="s">
        <v>230</v>
      </c>
      <c r="D55" s="612">
        <v>1</v>
      </c>
      <c r="E55" s="448" t="s">
        <v>137</v>
      </c>
      <c r="F55" s="107">
        <v>0</v>
      </c>
      <c r="G55" s="107">
        <v>0</v>
      </c>
      <c r="H55" s="107">
        <v>0</v>
      </c>
      <c r="I55" s="107">
        <v>74996893</v>
      </c>
      <c r="J55" s="107">
        <f>SUM(F55:I55)</f>
        <v>74996893</v>
      </c>
      <c r="K55" s="107">
        <v>0</v>
      </c>
      <c r="L55" s="109">
        <f t="shared" si="0"/>
        <v>74996893</v>
      </c>
    </row>
    <row r="56" spans="1:12" ht="15" customHeight="1" x14ac:dyDescent="0.25">
      <c r="A56" s="604"/>
      <c r="B56" s="607"/>
      <c r="C56" s="645"/>
      <c r="D56" s="613"/>
      <c r="E56" s="449" t="s">
        <v>138</v>
      </c>
      <c r="F56" s="112">
        <v>0</v>
      </c>
      <c r="G56" s="112">
        <v>0</v>
      </c>
      <c r="H56" s="112">
        <v>0</v>
      </c>
      <c r="I56" s="112">
        <v>0</v>
      </c>
      <c r="J56" s="110">
        <f>SUM(F56:I56)</f>
        <v>0</v>
      </c>
      <c r="K56" s="112">
        <v>0</v>
      </c>
      <c r="L56" s="117">
        <f t="shared" si="0"/>
        <v>0</v>
      </c>
    </row>
    <row r="57" spans="1:12" ht="15" customHeight="1" thickBot="1" x14ac:dyDescent="0.3">
      <c r="A57" s="605"/>
      <c r="B57" s="608"/>
      <c r="C57" s="646"/>
      <c r="D57" s="614"/>
      <c r="E57" s="450" t="s">
        <v>105</v>
      </c>
      <c r="F57" s="374">
        <f t="shared" ref="F57:K57" si="15">SUM(F55:F56)</f>
        <v>0</v>
      </c>
      <c r="G57" s="374">
        <f t="shared" si="15"/>
        <v>0</v>
      </c>
      <c r="H57" s="374">
        <f t="shared" si="15"/>
        <v>0</v>
      </c>
      <c r="I57" s="374">
        <f t="shared" si="15"/>
        <v>74996893</v>
      </c>
      <c r="J57" s="374">
        <f t="shared" si="15"/>
        <v>74996893</v>
      </c>
      <c r="K57" s="374">
        <f t="shared" si="15"/>
        <v>0</v>
      </c>
      <c r="L57" s="375">
        <f t="shared" si="0"/>
        <v>74996893</v>
      </c>
    </row>
    <row r="58" spans="1:12" ht="15" customHeight="1" x14ac:dyDescent="0.25">
      <c r="A58" s="604" t="s">
        <v>155</v>
      </c>
      <c r="B58" s="618" t="s">
        <v>173</v>
      </c>
      <c r="C58" s="610" t="s">
        <v>174</v>
      </c>
      <c r="D58" s="613">
        <v>1</v>
      </c>
      <c r="E58" s="453" t="s">
        <v>137</v>
      </c>
      <c r="F58" s="110">
        <v>0</v>
      </c>
      <c r="G58" s="110">
        <v>0</v>
      </c>
      <c r="H58" s="110">
        <v>0</v>
      </c>
      <c r="I58" s="110">
        <v>216635</v>
      </c>
      <c r="J58" s="110">
        <f>SUM(F58:I58)</f>
        <v>216635</v>
      </c>
      <c r="K58" s="110">
        <v>0</v>
      </c>
      <c r="L58" s="111">
        <f t="shared" si="0"/>
        <v>216635</v>
      </c>
    </row>
    <row r="59" spans="1:12" ht="15" customHeight="1" x14ac:dyDescent="0.25">
      <c r="A59" s="604"/>
      <c r="B59" s="618"/>
      <c r="C59" s="610"/>
      <c r="D59" s="613"/>
      <c r="E59" s="449" t="s">
        <v>138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7">
        <f t="shared" si="0"/>
        <v>0</v>
      </c>
    </row>
    <row r="60" spans="1:12" ht="15" customHeight="1" thickBot="1" x14ac:dyDescent="0.3">
      <c r="A60" s="605"/>
      <c r="B60" s="619"/>
      <c r="C60" s="611"/>
      <c r="D60" s="614"/>
      <c r="E60" s="450" t="s">
        <v>105</v>
      </c>
      <c r="F60" s="374">
        <f t="shared" ref="F60:K60" si="16">SUM(F58:F59)</f>
        <v>0</v>
      </c>
      <c r="G60" s="374">
        <f t="shared" si="16"/>
        <v>0</v>
      </c>
      <c r="H60" s="374">
        <f t="shared" si="16"/>
        <v>0</v>
      </c>
      <c r="I60" s="374">
        <f t="shared" si="16"/>
        <v>216635</v>
      </c>
      <c r="J60" s="374">
        <f t="shared" si="16"/>
        <v>216635</v>
      </c>
      <c r="K60" s="374">
        <f t="shared" si="16"/>
        <v>0</v>
      </c>
      <c r="L60" s="375">
        <f t="shared" si="0"/>
        <v>216635</v>
      </c>
    </row>
    <row r="61" spans="1:12" ht="15" customHeight="1" x14ac:dyDescent="0.25">
      <c r="A61" s="603" t="s">
        <v>156</v>
      </c>
      <c r="B61" s="606" t="s">
        <v>176</v>
      </c>
      <c r="C61" s="609" t="s">
        <v>177</v>
      </c>
      <c r="D61" s="612">
        <v>1</v>
      </c>
      <c r="E61" s="448" t="s">
        <v>137</v>
      </c>
      <c r="F61" s="107">
        <v>0</v>
      </c>
      <c r="G61" s="107">
        <v>0</v>
      </c>
      <c r="H61" s="107">
        <v>0</v>
      </c>
      <c r="I61" s="107">
        <v>246112</v>
      </c>
      <c r="J61" s="107">
        <f>SUM(F61:I61)</f>
        <v>246112</v>
      </c>
      <c r="K61" s="107">
        <v>0</v>
      </c>
      <c r="L61" s="109">
        <f t="shared" si="0"/>
        <v>246112</v>
      </c>
    </row>
    <row r="62" spans="1:12" ht="15" customHeight="1" x14ac:dyDescent="0.25">
      <c r="A62" s="604"/>
      <c r="B62" s="607"/>
      <c r="C62" s="610"/>
      <c r="D62" s="613"/>
      <c r="E62" s="449" t="s">
        <v>138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7">
        <f t="shared" si="0"/>
        <v>0</v>
      </c>
    </row>
    <row r="63" spans="1:12" ht="15" customHeight="1" thickBot="1" x14ac:dyDescent="0.3">
      <c r="A63" s="605"/>
      <c r="B63" s="608"/>
      <c r="C63" s="611"/>
      <c r="D63" s="614"/>
      <c r="E63" s="450" t="s">
        <v>105</v>
      </c>
      <c r="F63" s="374">
        <f t="shared" ref="F63:K63" si="17">SUM(F61:F62)</f>
        <v>0</v>
      </c>
      <c r="G63" s="374">
        <f t="shared" si="17"/>
        <v>0</v>
      </c>
      <c r="H63" s="374">
        <f t="shared" si="17"/>
        <v>0</v>
      </c>
      <c r="I63" s="374">
        <f t="shared" si="17"/>
        <v>246112</v>
      </c>
      <c r="J63" s="374">
        <f t="shared" si="17"/>
        <v>246112</v>
      </c>
      <c r="K63" s="374">
        <f t="shared" si="17"/>
        <v>0</v>
      </c>
      <c r="L63" s="375">
        <f t="shared" si="0"/>
        <v>246112</v>
      </c>
    </row>
    <row r="64" spans="1:12" ht="15" customHeight="1" x14ac:dyDescent="0.25">
      <c r="A64" s="603" t="s">
        <v>157</v>
      </c>
      <c r="B64" s="606" t="s">
        <v>179</v>
      </c>
      <c r="C64" s="609" t="s">
        <v>180</v>
      </c>
      <c r="D64" s="612">
        <v>1</v>
      </c>
      <c r="E64" s="448" t="s">
        <v>137</v>
      </c>
      <c r="F64" s="107">
        <v>0</v>
      </c>
      <c r="G64" s="107">
        <v>0</v>
      </c>
      <c r="H64" s="107">
        <v>0</v>
      </c>
      <c r="I64" s="107">
        <v>101369</v>
      </c>
      <c r="J64" s="107">
        <f>SUM(F64:I64)</f>
        <v>101369</v>
      </c>
      <c r="K64" s="107">
        <v>0</v>
      </c>
      <c r="L64" s="109">
        <f t="shared" si="0"/>
        <v>101369</v>
      </c>
    </row>
    <row r="65" spans="1:12" ht="15" customHeight="1" x14ac:dyDescent="0.25">
      <c r="A65" s="604"/>
      <c r="B65" s="607"/>
      <c r="C65" s="610"/>
      <c r="D65" s="613"/>
      <c r="E65" s="449" t="s">
        <v>138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7">
        <f t="shared" si="0"/>
        <v>0</v>
      </c>
    </row>
    <row r="66" spans="1:12" ht="15" customHeight="1" thickBot="1" x14ac:dyDescent="0.3">
      <c r="A66" s="605"/>
      <c r="B66" s="608"/>
      <c r="C66" s="611"/>
      <c r="D66" s="614"/>
      <c r="E66" s="450" t="s">
        <v>105</v>
      </c>
      <c r="F66" s="374">
        <f t="shared" ref="F66:K66" si="18">SUM(F64:F65)</f>
        <v>0</v>
      </c>
      <c r="G66" s="374">
        <f t="shared" si="18"/>
        <v>0</v>
      </c>
      <c r="H66" s="374">
        <f t="shared" si="18"/>
        <v>0</v>
      </c>
      <c r="I66" s="374">
        <f t="shared" si="18"/>
        <v>101369</v>
      </c>
      <c r="J66" s="374">
        <f t="shared" si="18"/>
        <v>101369</v>
      </c>
      <c r="K66" s="374">
        <f t="shared" si="18"/>
        <v>0</v>
      </c>
      <c r="L66" s="375">
        <f t="shared" si="0"/>
        <v>101369</v>
      </c>
    </row>
    <row r="67" spans="1:12" ht="15" customHeight="1" x14ac:dyDescent="0.25">
      <c r="A67" s="603" t="s">
        <v>168</v>
      </c>
      <c r="B67" s="607" t="s">
        <v>181</v>
      </c>
      <c r="C67" s="610" t="s">
        <v>182</v>
      </c>
      <c r="D67" s="613">
        <v>1</v>
      </c>
      <c r="E67" s="448" t="s">
        <v>137</v>
      </c>
      <c r="F67" s="107">
        <v>0</v>
      </c>
      <c r="G67" s="107">
        <v>0</v>
      </c>
      <c r="H67" s="107">
        <v>0</v>
      </c>
      <c r="I67" s="107">
        <v>1065981</v>
      </c>
      <c r="J67" s="107">
        <f>SUM(F67:I67)</f>
        <v>1065981</v>
      </c>
      <c r="K67" s="107">
        <v>0</v>
      </c>
      <c r="L67" s="109">
        <f t="shared" si="0"/>
        <v>1065981</v>
      </c>
    </row>
    <row r="68" spans="1:12" ht="15" customHeight="1" x14ac:dyDescent="0.25">
      <c r="A68" s="604"/>
      <c r="B68" s="607"/>
      <c r="C68" s="610"/>
      <c r="D68" s="613"/>
      <c r="E68" s="449" t="s">
        <v>138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7">
        <f t="shared" si="0"/>
        <v>0</v>
      </c>
    </row>
    <row r="69" spans="1:12" ht="15" customHeight="1" thickBot="1" x14ac:dyDescent="0.3">
      <c r="A69" s="604"/>
      <c r="B69" s="607"/>
      <c r="C69" s="610"/>
      <c r="D69" s="613"/>
      <c r="E69" s="454" t="s">
        <v>105</v>
      </c>
      <c r="F69" s="376">
        <f t="shared" ref="F69:K69" si="19">SUM(F67:F68)</f>
        <v>0</v>
      </c>
      <c r="G69" s="376">
        <f t="shared" si="19"/>
        <v>0</v>
      </c>
      <c r="H69" s="376">
        <f t="shared" si="19"/>
        <v>0</v>
      </c>
      <c r="I69" s="376">
        <f t="shared" si="19"/>
        <v>1065981</v>
      </c>
      <c r="J69" s="376">
        <f t="shared" si="19"/>
        <v>1065981</v>
      </c>
      <c r="K69" s="376">
        <f t="shared" si="19"/>
        <v>0</v>
      </c>
      <c r="L69" s="377">
        <f t="shared" si="0"/>
        <v>1065981</v>
      </c>
    </row>
    <row r="70" spans="1:12" ht="15" customHeight="1" x14ac:dyDescent="0.25">
      <c r="A70" s="603" t="s">
        <v>169</v>
      </c>
      <c r="B70" s="606" t="s">
        <v>183</v>
      </c>
      <c r="C70" s="609" t="s">
        <v>184</v>
      </c>
      <c r="D70" s="612">
        <v>1</v>
      </c>
      <c r="E70" s="448" t="s">
        <v>137</v>
      </c>
      <c r="F70" s="107">
        <v>0</v>
      </c>
      <c r="G70" s="107">
        <v>0</v>
      </c>
      <c r="H70" s="107">
        <v>0</v>
      </c>
      <c r="I70" s="107">
        <f>506676+175200</f>
        <v>681876</v>
      </c>
      <c r="J70" s="107">
        <f>SUM(F70:I70)</f>
        <v>681876</v>
      </c>
      <c r="K70" s="107">
        <v>0</v>
      </c>
      <c r="L70" s="109">
        <f t="shared" si="0"/>
        <v>681876</v>
      </c>
    </row>
    <row r="71" spans="1:12" ht="15" customHeight="1" x14ac:dyDescent="0.25">
      <c r="A71" s="604"/>
      <c r="B71" s="607"/>
      <c r="C71" s="610"/>
      <c r="D71" s="613"/>
      <c r="E71" s="449" t="s">
        <v>138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7">
        <f t="shared" si="0"/>
        <v>0</v>
      </c>
    </row>
    <row r="72" spans="1:12" ht="15" customHeight="1" thickBot="1" x14ac:dyDescent="0.3">
      <c r="A72" s="605"/>
      <c r="B72" s="608"/>
      <c r="C72" s="611"/>
      <c r="D72" s="614"/>
      <c r="E72" s="450" t="s">
        <v>105</v>
      </c>
      <c r="F72" s="374">
        <f t="shared" ref="F72:K72" si="20">SUM(F70:F71)</f>
        <v>0</v>
      </c>
      <c r="G72" s="374">
        <f t="shared" si="20"/>
        <v>0</v>
      </c>
      <c r="H72" s="374">
        <f t="shared" si="20"/>
        <v>0</v>
      </c>
      <c r="I72" s="374">
        <f t="shared" si="20"/>
        <v>681876</v>
      </c>
      <c r="J72" s="374">
        <f t="shared" si="20"/>
        <v>681876</v>
      </c>
      <c r="K72" s="374">
        <f t="shared" si="20"/>
        <v>0</v>
      </c>
      <c r="L72" s="375">
        <f t="shared" si="0"/>
        <v>681876</v>
      </c>
    </row>
    <row r="73" spans="1:12" ht="15" customHeight="1" x14ac:dyDescent="0.25">
      <c r="A73" s="603" t="s">
        <v>170</v>
      </c>
      <c r="B73" s="606" t="s">
        <v>186</v>
      </c>
      <c r="C73" s="609" t="s">
        <v>187</v>
      </c>
      <c r="D73" s="612">
        <v>1</v>
      </c>
      <c r="E73" s="448" t="s">
        <v>137</v>
      </c>
      <c r="F73" s="107">
        <v>0</v>
      </c>
      <c r="G73" s="107">
        <v>0</v>
      </c>
      <c r="H73" s="107">
        <v>0</v>
      </c>
      <c r="I73" s="107">
        <v>242816</v>
      </c>
      <c r="J73" s="107">
        <f>SUM(F73:I73)</f>
        <v>242816</v>
      </c>
      <c r="K73" s="107">
        <v>0</v>
      </c>
      <c r="L73" s="109">
        <f t="shared" si="0"/>
        <v>242816</v>
      </c>
    </row>
    <row r="74" spans="1:12" ht="15" customHeight="1" x14ac:dyDescent="0.25">
      <c r="A74" s="604"/>
      <c r="B74" s="607"/>
      <c r="C74" s="610"/>
      <c r="D74" s="613"/>
      <c r="E74" s="449" t="s">
        <v>138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7">
        <f t="shared" si="0"/>
        <v>0</v>
      </c>
    </row>
    <row r="75" spans="1:12" ht="15" customHeight="1" thickBot="1" x14ac:dyDescent="0.3">
      <c r="A75" s="605"/>
      <c r="B75" s="608"/>
      <c r="C75" s="611"/>
      <c r="D75" s="614"/>
      <c r="E75" s="450" t="s">
        <v>105</v>
      </c>
      <c r="F75" s="374">
        <f t="shared" ref="F75:K75" si="21">SUM(F73:F74)</f>
        <v>0</v>
      </c>
      <c r="G75" s="374">
        <f t="shared" si="21"/>
        <v>0</v>
      </c>
      <c r="H75" s="374">
        <f t="shared" si="21"/>
        <v>0</v>
      </c>
      <c r="I75" s="374">
        <f t="shared" si="21"/>
        <v>242816</v>
      </c>
      <c r="J75" s="374">
        <f t="shared" si="21"/>
        <v>242816</v>
      </c>
      <c r="K75" s="374">
        <f t="shared" si="21"/>
        <v>0</v>
      </c>
      <c r="L75" s="375">
        <f t="shared" si="0"/>
        <v>242816</v>
      </c>
    </row>
    <row r="76" spans="1:12" ht="15" customHeight="1" x14ac:dyDescent="0.25">
      <c r="A76" s="596" t="s">
        <v>109</v>
      </c>
      <c r="B76" s="597"/>
      <c r="C76" s="597"/>
      <c r="D76" s="598"/>
      <c r="E76" s="302" t="s">
        <v>137</v>
      </c>
      <c r="F76" s="303">
        <f t="shared" ref="F76:L77" si="22">F13+F16+F19+F22+F25+F28+F31+F34+F37+F40+F43+F46+F49+F52+F55+F58+F61+F64+F67+F70+F73</f>
        <v>535549694</v>
      </c>
      <c r="G76" s="303">
        <f t="shared" si="22"/>
        <v>115331133</v>
      </c>
      <c r="H76" s="303">
        <f t="shared" si="22"/>
        <v>2664000</v>
      </c>
      <c r="I76" s="303">
        <f t="shared" si="22"/>
        <v>463472550</v>
      </c>
      <c r="J76" s="303">
        <f t="shared" si="22"/>
        <v>1117017377</v>
      </c>
      <c r="K76" s="303">
        <f t="shared" si="22"/>
        <v>10501978</v>
      </c>
      <c r="L76" s="304">
        <f t="shared" si="22"/>
        <v>1127519355</v>
      </c>
    </row>
    <row r="77" spans="1:12" ht="15" customHeight="1" x14ac:dyDescent="0.25">
      <c r="A77" s="599"/>
      <c r="B77" s="600"/>
      <c r="C77" s="600"/>
      <c r="D77" s="601"/>
      <c r="E77" s="311" t="s">
        <v>138</v>
      </c>
      <c r="F77" s="306">
        <f t="shared" si="22"/>
        <v>33900000</v>
      </c>
      <c r="G77" s="306">
        <f t="shared" si="22"/>
        <v>0</v>
      </c>
      <c r="H77" s="306">
        <f t="shared" si="22"/>
        <v>0</v>
      </c>
      <c r="I77" s="306">
        <f t="shared" si="22"/>
        <v>0</v>
      </c>
      <c r="J77" s="306">
        <f t="shared" si="22"/>
        <v>33900000</v>
      </c>
      <c r="K77" s="306">
        <f t="shared" si="22"/>
        <v>0</v>
      </c>
      <c r="L77" s="307">
        <f t="shared" si="22"/>
        <v>33900000</v>
      </c>
    </row>
    <row r="78" spans="1:12" ht="15" customHeight="1" thickBot="1" x14ac:dyDescent="0.3">
      <c r="A78" s="567"/>
      <c r="B78" s="568"/>
      <c r="C78" s="568"/>
      <c r="D78" s="602"/>
      <c r="E78" s="312" t="s">
        <v>105</v>
      </c>
      <c r="F78" s="309">
        <f t="shared" ref="F78:L78" si="23">SUM(F76:F77)</f>
        <v>569449694</v>
      </c>
      <c r="G78" s="309">
        <f t="shared" ref="G78" si="24">SUM(G76:G77)</f>
        <v>115331133</v>
      </c>
      <c r="H78" s="309">
        <f t="shared" si="23"/>
        <v>2664000</v>
      </c>
      <c r="I78" s="309">
        <f t="shared" si="23"/>
        <v>463472550</v>
      </c>
      <c r="J78" s="309">
        <f t="shared" si="23"/>
        <v>1150917377</v>
      </c>
      <c r="K78" s="309">
        <f t="shared" si="23"/>
        <v>10501978</v>
      </c>
      <c r="L78" s="310">
        <f t="shared" si="23"/>
        <v>1161419355</v>
      </c>
    </row>
    <row r="79" spans="1:12" ht="15" customHeight="1" x14ac:dyDescent="0.25">
      <c r="A79" s="635"/>
      <c r="B79" s="635"/>
      <c r="C79" s="635"/>
      <c r="D79" s="635"/>
      <c r="E79" s="635"/>
      <c r="F79" s="635"/>
      <c r="G79" s="635"/>
      <c r="H79" s="635"/>
    </row>
    <row r="80" spans="1:12" ht="16.5" thickBot="1" x14ac:dyDescent="0.3">
      <c r="L80" s="213" t="s">
        <v>201</v>
      </c>
    </row>
    <row r="81" spans="1:12" x14ac:dyDescent="0.25">
      <c r="A81" s="636" t="s">
        <v>9</v>
      </c>
      <c r="B81" s="639" t="s">
        <v>96</v>
      </c>
      <c r="C81" s="639"/>
      <c r="D81" s="639"/>
      <c r="E81" s="640" t="s">
        <v>267</v>
      </c>
      <c r="F81" s="640"/>
      <c r="G81" s="640"/>
      <c r="H81" s="640"/>
      <c r="I81" s="640"/>
      <c r="J81" s="640"/>
      <c r="K81" s="640"/>
      <c r="L81" s="641"/>
    </row>
    <row r="82" spans="1:12" x14ac:dyDescent="0.25">
      <c r="A82" s="637"/>
      <c r="B82" s="629"/>
      <c r="C82" s="629"/>
      <c r="D82" s="629"/>
      <c r="E82" s="631" t="s">
        <v>134</v>
      </c>
      <c r="F82" s="631"/>
      <c r="G82" s="631"/>
      <c r="H82" s="631"/>
      <c r="I82" s="631"/>
      <c r="J82" s="631"/>
      <c r="K82" s="629" t="s">
        <v>99</v>
      </c>
      <c r="L82" s="642" t="s">
        <v>105</v>
      </c>
    </row>
    <row r="83" spans="1:12" x14ac:dyDescent="0.25">
      <c r="A83" s="637"/>
      <c r="B83" s="629" t="s">
        <v>100</v>
      </c>
      <c r="C83" s="629" t="s">
        <v>101</v>
      </c>
      <c r="D83" s="627" t="s">
        <v>159</v>
      </c>
      <c r="E83" s="629" t="s">
        <v>135</v>
      </c>
      <c r="F83" s="631" t="s">
        <v>108</v>
      </c>
      <c r="G83" s="631"/>
      <c r="H83" s="631"/>
      <c r="I83" s="631"/>
      <c r="J83" s="631"/>
      <c r="K83" s="629"/>
      <c r="L83" s="642"/>
    </row>
    <row r="84" spans="1:12" x14ac:dyDescent="0.25">
      <c r="A84" s="637"/>
      <c r="B84" s="629"/>
      <c r="C84" s="629"/>
      <c r="D84" s="627"/>
      <c r="E84" s="629"/>
      <c r="F84" s="631" t="s">
        <v>188</v>
      </c>
      <c r="G84" s="631"/>
      <c r="H84" s="631" t="s">
        <v>189</v>
      </c>
      <c r="I84" s="633" t="s">
        <v>136</v>
      </c>
      <c r="J84" s="631" t="s">
        <v>105</v>
      </c>
      <c r="K84" s="629"/>
      <c r="L84" s="642"/>
    </row>
    <row r="85" spans="1:12" ht="16.5" thickBot="1" x14ac:dyDescent="0.3">
      <c r="A85" s="638"/>
      <c r="B85" s="630"/>
      <c r="C85" s="630"/>
      <c r="D85" s="628"/>
      <c r="E85" s="630"/>
      <c r="F85" s="313" t="s">
        <v>190</v>
      </c>
      <c r="G85" s="313" t="s">
        <v>191</v>
      </c>
      <c r="H85" s="632"/>
      <c r="I85" s="634"/>
      <c r="J85" s="632"/>
      <c r="K85" s="630"/>
      <c r="L85" s="643"/>
    </row>
    <row r="86" spans="1:12" ht="15" customHeight="1" x14ac:dyDescent="0.25">
      <c r="A86" s="603" t="s">
        <v>1</v>
      </c>
      <c r="B86" s="624" t="s">
        <v>162</v>
      </c>
      <c r="C86" s="624" t="s">
        <v>163</v>
      </c>
      <c r="D86" s="612">
        <v>0.95</v>
      </c>
      <c r="E86" s="448" t="s">
        <v>137</v>
      </c>
      <c r="F86" s="108">
        <v>0</v>
      </c>
      <c r="G86" s="108">
        <f>1794875+5939655+2611584</f>
        <v>10346114</v>
      </c>
      <c r="H86" s="108">
        <v>0</v>
      </c>
      <c r="I86" s="108">
        <v>211162</v>
      </c>
      <c r="J86" s="108">
        <f>SUM(F86:I86)</f>
        <v>10557276</v>
      </c>
      <c r="K86" s="107">
        <v>86074</v>
      </c>
      <c r="L86" s="109">
        <f t="shared" ref="L86:L88" si="25">J86+K86</f>
        <v>10643350</v>
      </c>
    </row>
    <row r="87" spans="1:12" ht="15" customHeight="1" x14ac:dyDescent="0.25">
      <c r="A87" s="604"/>
      <c r="B87" s="625"/>
      <c r="C87" s="625"/>
      <c r="D87" s="613"/>
      <c r="E87" s="449" t="s">
        <v>138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/>
      <c r="L87" s="117">
        <f t="shared" si="25"/>
        <v>0</v>
      </c>
    </row>
    <row r="88" spans="1:12" ht="15" customHeight="1" thickBot="1" x14ac:dyDescent="0.3">
      <c r="A88" s="605"/>
      <c r="B88" s="626"/>
      <c r="C88" s="626"/>
      <c r="D88" s="614"/>
      <c r="E88" s="450" t="s">
        <v>105</v>
      </c>
      <c r="F88" s="374">
        <f t="shared" ref="F88:K88" si="26">SUM(F86:F87)</f>
        <v>0</v>
      </c>
      <c r="G88" s="374">
        <f t="shared" si="26"/>
        <v>10346114</v>
      </c>
      <c r="H88" s="374">
        <f t="shared" si="26"/>
        <v>0</v>
      </c>
      <c r="I88" s="374">
        <f t="shared" si="26"/>
        <v>211162</v>
      </c>
      <c r="J88" s="374">
        <f t="shared" si="26"/>
        <v>10557276</v>
      </c>
      <c r="K88" s="374">
        <f t="shared" si="26"/>
        <v>86074</v>
      </c>
      <c r="L88" s="375">
        <f t="shared" si="25"/>
        <v>10643350</v>
      </c>
    </row>
    <row r="89" spans="1:12" ht="15" customHeight="1" x14ac:dyDescent="0.25">
      <c r="A89" s="603" t="s">
        <v>2</v>
      </c>
      <c r="B89" s="624" t="s">
        <v>164</v>
      </c>
      <c r="C89" s="624" t="s">
        <v>165</v>
      </c>
      <c r="D89" s="612">
        <v>0.95</v>
      </c>
      <c r="E89" s="448" t="s">
        <v>137</v>
      </c>
      <c r="F89" s="108">
        <v>0</v>
      </c>
      <c r="G89" s="108">
        <f>2425093+4650313+3628548</f>
        <v>10703954</v>
      </c>
      <c r="H89" s="108">
        <v>0</v>
      </c>
      <c r="I89" s="108">
        <v>285305</v>
      </c>
      <c r="J89" s="108">
        <f>SUM(F89:I89)</f>
        <v>10989259</v>
      </c>
      <c r="K89" s="107">
        <v>142602</v>
      </c>
      <c r="L89" s="109">
        <f>J89+K89</f>
        <v>11131861</v>
      </c>
    </row>
    <row r="90" spans="1:12" ht="15" customHeight="1" x14ac:dyDescent="0.25">
      <c r="A90" s="604"/>
      <c r="B90" s="625"/>
      <c r="C90" s="625"/>
      <c r="D90" s="613"/>
      <c r="E90" s="449" t="s">
        <v>138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7">
        <f t="shared" ref="L90:L148" si="27">J90+K90</f>
        <v>0</v>
      </c>
    </row>
    <row r="91" spans="1:12" ht="15" customHeight="1" thickBot="1" x14ac:dyDescent="0.3">
      <c r="A91" s="605"/>
      <c r="B91" s="626"/>
      <c r="C91" s="626"/>
      <c r="D91" s="614"/>
      <c r="E91" s="450" t="s">
        <v>105</v>
      </c>
      <c r="F91" s="374">
        <f t="shared" ref="F91:K91" si="28">SUM(F89:F90)</f>
        <v>0</v>
      </c>
      <c r="G91" s="374">
        <f t="shared" si="28"/>
        <v>10703954</v>
      </c>
      <c r="H91" s="374">
        <f t="shared" si="28"/>
        <v>0</v>
      </c>
      <c r="I91" s="374">
        <f t="shared" si="28"/>
        <v>285305</v>
      </c>
      <c r="J91" s="374">
        <f t="shared" si="28"/>
        <v>10989259</v>
      </c>
      <c r="K91" s="374">
        <f t="shared" si="28"/>
        <v>142602</v>
      </c>
      <c r="L91" s="375">
        <f t="shared" si="27"/>
        <v>11131861</v>
      </c>
    </row>
    <row r="92" spans="1:12" ht="15" customHeight="1" x14ac:dyDescent="0.25">
      <c r="A92" s="603" t="s">
        <v>4</v>
      </c>
      <c r="B92" s="624" t="s">
        <v>293</v>
      </c>
      <c r="C92" s="624" t="s">
        <v>294</v>
      </c>
      <c r="D92" s="612">
        <v>0.95</v>
      </c>
      <c r="E92" s="448" t="s">
        <v>137</v>
      </c>
      <c r="F92" s="108">
        <f>2818147+8499737</f>
        <v>11317884</v>
      </c>
      <c r="G92" s="108">
        <v>0</v>
      </c>
      <c r="H92" s="108">
        <v>0</v>
      </c>
      <c r="I92" s="108">
        <v>0</v>
      </c>
      <c r="J92" s="108">
        <f>SUM(F92:I92)</f>
        <v>11317884</v>
      </c>
      <c r="K92" s="107">
        <v>783008</v>
      </c>
      <c r="L92" s="109">
        <f t="shared" si="27"/>
        <v>12100892</v>
      </c>
    </row>
    <row r="93" spans="1:12" ht="15" customHeight="1" x14ac:dyDescent="0.25">
      <c r="A93" s="604"/>
      <c r="B93" s="625"/>
      <c r="C93" s="625"/>
      <c r="D93" s="613"/>
      <c r="E93" s="449" t="s">
        <v>138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2">
        <v>0</v>
      </c>
      <c r="L93" s="117">
        <f t="shared" si="27"/>
        <v>0</v>
      </c>
    </row>
    <row r="94" spans="1:12" ht="15" customHeight="1" thickBot="1" x14ac:dyDescent="0.3">
      <c r="A94" s="605"/>
      <c r="B94" s="626"/>
      <c r="C94" s="626"/>
      <c r="D94" s="614"/>
      <c r="E94" s="450" t="s">
        <v>105</v>
      </c>
      <c r="F94" s="374">
        <f t="shared" ref="F94:K94" si="29">SUM(F92:F93)</f>
        <v>11317884</v>
      </c>
      <c r="G94" s="374">
        <f t="shared" si="29"/>
        <v>0</v>
      </c>
      <c r="H94" s="374">
        <f t="shared" si="29"/>
        <v>0</v>
      </c>
      <c r="I94" s="374">
        <f t="shared" si="29"/>
        <v>0</v>
      </c>
      <c r="J94" s="374">
        <f t="shared" si="29"/>
        <v>11317884</v>
      </c>
      <c r="K94" s="374">
        <f t="shared" si="29"/>
        <v>783008</v>
      </c>
      <c r="L94" s="375">
        <f t="shared" si="27"/>
        <v>12100892</v>
      </c>
    </row>
    <row r="95" spans="1:12" s="265" customFormat="1" ht="15" customHeight="1" x14ac:dyDescent="0.25">
      <c r="A95" s="603" t="s">
        <v>5</v>
      </c>
      <c r="B95" s="624" t="s">
        <v>295</v>
      </c>
      <c r="C95" s="624" t="s">
        <v>296</v>
      </c>
      <c r="D95" s="612">
        <v>0.95</v>
      </c>
      <c r="E95" s="451" t="s">
        <v>137</v>
      </c>
      <c r="F95" s="108">
        <f>2854214+8443021</f>
        <v>11297235</v>
      </c>
      <c r="G95" s="108">
        <v>0</v>
      </c>
      <c r="H95" s="108">
        <v>0</v>
      </c>
      <c r="I95" s="108">
        <v>0</v>
      </c>
      <c r="J95" s="108">
        <f>SUM(F95:I95)</f>
        <v>11297235</v>
      </c>
      <c r="K95" s="108">
        <v>691897</v>
      </c>
      <c r="L95" s="267">
        <f t="shared" si="27"/>
        <v>11989132</v>
      </c>
    </row>
    <row r="96" spans="1:12" ht="15" customHeight="1" x14ac:dyDescent="0.25">
      <c r="A96" s="604"/>
      <c r="B96" s="625"/>
      <c r="C96" s="625"/>
      <c r="D96" s="613"/>
      <c r="E96" s="449" t="s">
        <v>138</v>
      </c>
      <c r="F96" s="112">
        <v>0</v>
      </c>
      <c r="G96" s="112">
        <v>0</v>
      </c>
      <c r="H96" s="112">
        <v>0</v>
      </c>
      <c r="I96" s="112"/>
      <c r="J96" s="112">
        <v>0</v>
      </c>
      <c r="K96" s="112">
        <v>0</v>
      </c>
      <c r="L96" s="117">
        <f t="shared" si="27"/>
        <v>0</v>
      </c>
    </row>
    <row r="97" spans="1:12" ht="15" customHeight="1" thickBot="1" x14ac:dyDescent="0.3">
      <c r="A97" s="605"/>
      <c r="B97" s="626"/>
      <c r="C97" s="626"/>
      <c r="D97" s="614"/>
      <c r="E97" s="450" t="s">
        <v>105</v>
      </c>
      <c r="F97" s="374">
        <f t="shared" ref="F97:K97" si="30">SUM(F95:F96)</f>
        <v>11297235</v>
      </c>
      <c r="G97" s="374">
        <f t="shared" si="30"/>
        <v>0</v>
      </c>
      <c r="H97" s="374">
        <f t="shared" si="30"/>
        <v>0</v>
      </c>
      <c r="I97" s="374">
        <f t="shared" si="30"/>
        <v>0</v>
      </c>
      <c r="J97" s="374">
        <f t="shared" si="30"/>
        <v>11297235</v>
      </c>
      <c r="K97" s="374">
        <f t="shared" si="30"/>
        <v>691897</v>
      </c>
      <c r="L97" s="375">
        <f t="shared" si="27"/>
        <v>11989132</v>
      </c>
    </row>
    <row r="98" spans="1:12" ht="15" customHeight="1" x14ac:dyDescent="0.25">
      <c r="A98" s="603" t="s">
        <v>7</v>
      </c>
      <c r="B98" s="624" t="s">
        <v>297</v>
      </c>
      <c r="C98" s="624" t="s">
        <v>298</v>
      </c>
      <c r="D98" s="612">
        <v>0.95</v>
      </c>
      <c r="E98" s="448" t="s">
        <v>137</v>
      </c>
      <c r="F98" s="108">
        <v>0</v>
      </c>
      <c r="G98" s="108">
        <v>0</v>
      </c>
      <c r="H98" s="108">
        <v>0</v>
      </c>
      <c r="I98" s="108">
        <v>0</v>
      </c>
      <c r="J98" s="108">
        <f>SUM(F98:I98)</f>
        <v>0</v>
      </c>
      <c r="K98" s="107">
        <v>676300</v>
      </c>
      <c r="L98" s="109">
        <f t="shared" si="27"/>
        <v>676300</v>
      </c>
    </row>
    <row r="99" spans="1:12" ht="15" customHeight="1" x14ac:dyDescent="0.25">
      <c r="A99" s="604"/>
      <c r="B99" s="625"/>
      <c r="C99" s="625"/>
      <c r="D99" s="613"/>
      <c r="E99" s="449" t="s">
        <v>138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7">
        <f t="shared" si="27"/>
        <v>0</v>
      </c>
    </row>
    <row r="100" spans="1:12" ht="15" customHeight="1" thickBot="1" x14ac:dyDescent="0.3">
      <c r="A100" s="605"/>
      <c r="B100" s="626"/>
      <c r="C100" s="626"/>
      <c r="D100" s="614"/>
      <c r="E100" s="450" t="s">
        <v>105</v>
      </c>
      <c r="F100" s="374">
        <f t="shared" ref="F100:K100" si="31">SUM(F98:F99)</f>
        <v>0</v>
      </c>
      <c r="G100" s="374">
        <f t="shared" si="31"/>
        <v>0</v>
      </c>
      <c r="H100" s="374">
        <f t="shared" si="31"/>
        <v>0</v>
      </c>
      <c r="I100" s="374">
        <f t="shared" si="31"/>
        <v>0</v>
      </c>
      <c r="J100" s="374">
        <f t="shared" si="31"/>
        <v>0</v>
      </c>
      <c r="K100" s="374">
        <f t="shared" si="31"/>
        <v>676300</v>
      </c>
      <c r="L100" s="375">
        <f t="shared" si="27"/>
        <v>676300</v>
      </c>
    </row>
    <row r="101" spans="1:12" ht="15" customHeight="1" x14ac:dyDescent="0.25">
      <c r="A101" s="603" t="s">
        <v>27</v>
      </c>
      <c r="B101" s="624" t="s">
        <v>299</v>
      </c>
      <c r="C101" s="624" t="s">
        <v>300</v>
      </c>
      <c r="D101" s="612">
        <v>0.95</v>
      </c>
      <c r="E101" s="448" t="s">
        <v>137</v>
      </c>
      <c r="F101" s="107">
        <f>2561750+6988589</f>
        <v>9550339</v>
      </c>
      <c r="G101" s="107">
        <v>0</v>
      </c>
      <c r="H101" s="107">
        <v>0</v>
      </c>
      <c r="I101" s="107">
        <v>0</v>
      </c>
      <c r="J101" s="107">
        <f>SUM(F101:I101)</f>
        <v>9550339</v>
      </c>
      <c r="K101" s="107">
        <v>576246</v>
      </c>
      <c r="L101" s="109">
        <f t="shared" si="27"/>
        <v>10126585</v>
      </c>
    </row>
    <row r="102" spans="1:12" ht="15" customHeight="1" x14ac:dyDescent="0.25">
      <c r="A102" s="604"/>
      <c r="B102" s="625"/>
      <c r="C102" s="625"/>
      <c r="D102" s="613"/>
      <c r="E102" s="449" t="s">
        <v>138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7">
        <f t="shared" si="27"/>
        <v>0</v>
      </c>
    </row>
    <row r="103" spans="1:12" ht="15" customHeight="1" thickBot="1" x14ac:dyDescent="0.3">
      <c r="A103" s="605"/>
      <c r="B103" s="626"/>
      <c r="C103" s="626"/>
      <c r="D103" s="614"/>
      <c r="E103" s="450" t="s">
        <v>105</v>
      </c>
      <c r="F103" s="374">
        <f t="shared" ref="F103:K103" si="32">SUM(F101:F102)</f>
        <v>9550339</v>
      </c>
      <c r="G103" s="374">
        <f t="shared" si="32"/>
        <v>0</v>
      </c>
      <c r="H103" s="374">
        <f t="shared" si="32"/>
        <v>0</v>
      </c>
      <c r="I103" s="374">
        <f t="shared" si="32"/>
        <v>0</v>
      </c>
      <c r="J103" s="374">
        <f t="shared" si="32"/>
        <v>9550339</v>
      </c>
      <c r="K103" s="374">
        <f t="shared" si="32"/>
        <v>576246</v>
      </c>
      <c r="L103" s="375">
        <f t="shared" si="27"/>
        <v>10126585</v>
      </c>
    </row>
    <row r="104" spans="1:12" s="265" customFormat="1" ht="15" customHeight="1" x14ac:dyDescent="0.25">
      <c r="A104" s="603" t="s">
        <v>81</v>
      </c>
      <c r="B104" s="607" t="s">
        <v>301</v>
      </c>
      <c r="C104" s="625" t="s">
        <v>302</v>
      </c>
      <c r="D104" s="613">
        <v>0.95</v>
      </c>
      <c r="E104" s="452" t="s">
        <v>137</v>
      </c>
      <c r="F104" s="107">
        <v>0</v>
      </c>
      <c r="G104" s="107">
        <v>0</v>
      </c>
      <c r="H104" s="107">
        <v>0</v>
      </c>
      <c r="I104" s="107">
        <v>0</v>
      </c>
      <c r="J104" s="107">
        <f>SUM(F104:I104)</f>
        <v>0</v>
      </c>
      <c r="K104" s="108">
        <v>593339</v>
      </c>
      <c r="L104" s="264">
        <f t="shared" si="27"/>
        <v>593339</v>
      </c>
    </row>
    <row r="105" spans="1:12" ht="15" customHeight="1" x14ac:dyDescent="0.25">
      <c r="A105" s="604"/>
      <c r="B105" s="607"/>
      <c r="C105" s="625"/>
      <c r="D105" s="613"/>
      <c r="E105" s="449" t="s">
        <v>138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7">
        <f t="shared" si="27"/>
        <v>0</v>
      </c>
    </row>
    <row r="106" spans="1:12" ht="15" customHeight="1" thickBot="1" x14ac:dyDescent="0.3">
      <c r="A106" s="605"/>
      <c r="B106" s="608"/>
      <c r="C106" s="626"/>
      <c r="D106" s="614"/>
      <c r="E106" s="450" t="s">
        <v>105</v>
      </c>
      <c r="F106" s="374">
        <f t="shared" ref="F106:K106" si="33">SUM(F104:F105)</f>
        <v>0</v>
      </c>
      <c r="G106" s="374">
        <f t="shared" si="33"/>
        <v>0</v>
      </c>
      <c r="H106" s="374">
        <f t="shared" si="33"/>
        <v>0</v>
      </c>
      <c r="I106" s="374">
        <f t="shared" si="33"/>
        <v>0</v>
      </c>
      <c r="J106" s="374">
        <f t="shared" si="33"/>
        <v>0</v>
      </c>
      <c r="K106" s="374">
        <f t="shared" si="33"/>
        <v>593339</v>
      </c>
      <c r="L106" s="375">
        <f t="shared" si="27"/>
        <v>593339</v>
      </c>
    </row>
    <row r="107" spans="1:12" s="265" customFormat="1" ht="15" customHeight="1" x14ac:dyDescent="0.25">
      <c r="A107" s="603" t="s">
        <v>82</v>
      </c>
      <c r="B107" s="607" t="s">
        <v>207</v>
      </c>
      <c r="C107" s="625">
        <v>101035163</v>
      </c>
      <c r="D107" s="613">
        <v>0.65</v>
      </c>
      <c r="E107" s="452" t="s">
        <v>137</v>
      </c>
      <c r="F107" s="107">
        <v>0</v>
      </c>
      <c r="G107" s="107">
        <v>11718592</v>
      </c>
      <c r="H107" s="107">
        <v>0</v>
      </c>
      <c r="I107" s="107">
        <v>0</v>
      </c>
      <c r="J107" s="107">
        <f>SUM(F107:I107)</f>
        <v>11718592</v>
      </c>
      <c r="K107" s="108">
        <v>4127613</v>
      </c>
      <c r="L107" s="264">
        <f t="shared" si="27"/>
        <v>15846205</v>
      </c>
    </row>
    <row r="108" spans="1:12" ht="15" customHeight="1" x14ac:dyDescent="0.25">
      <c r="A108" s="604"/>
      <c r="B108" s="607"/>
      <c r="C108" s="625"/>
      <c r="D108" s="613"/>
      <c r="E108" s="449" t="s">
        <v>138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7">
        <f t="shared" si="27"/>
        <v>0</v>
      </c>
    </row>
    <row r="109" spans="1:12" ht="15" customHeight="1" thickBot="1" x14ac:dyDescent="0.3">
      <c r="A109" s="605"/>
      <c r="B109" s="608"/>
      <c r="C109" s="626"/>
      <c r="D109" s="614"/>
      <c r="E109" s="450" t="s">
        <v>105</v>
      </c>
      <c r="F109" s="374">
        <f t="shared" ref="F109:K109" si="34">SUM(F107:F108)</f>
        <v>0</v>
      </c>
      <c r="G109" s="374">
        <f t="shared" si="34"/>
        <v>11718592</v>
      </c>
      <c r="H109" s="374">
        <f t="shared" si="34"/>
        <v>0</v>
      </c>
      <c r="I109" s="374">
        <f t="shared" si="34"/>
        <v>0</v>
      </c>
      <c r="J109" s="374">
        <f t="shared" si="34"/>
        <v>11718592</v>
      </c>
      <c r="K109" s="374">
        <f t="shared" si="34"/>
        <v>4127613</v>
      </c>
      <c r="L109" s="375">
        <f t="shared" si="27"/>
        <v>15846205</v>
      </c>
    </row>
    <row r="110" spans="1:12" s="265" customFormat="1" ht="15" customHeight="1" x14ac:dyDescent="0.25">
      <c r="A110" s="603" t="s">
        <v>93</v>
      </c>
      <c r="B110" s="606" t="s">
        <v>226</v>
      </c>
      <c r="C110" s="624">
        <v>101074095</v>
      </c>
      <c r="D110" s="612">
        <v>0.9</v>
      </c>
      <c r="E110" s="451" t="s">
        <v>137</v>
      </c>
      <c r="F110" s="107">
        <v>0</v>
      </c>
      <c r="G110" s="107">
        <v>0</v>
      </c>
      <c r="H110" s="107">
        <v>0</v>
      </c>
      <c r="I110" s="107">
        <v>4398182</v>
      </c>
      <c r="J110" s="107">
        <f>SUM(F110:I110)</f>
        <v>4398182</v>
      </c>
      <c r="K110" s="108">
        <v>459302</v>
      </c>
      <c r="L110" s="267">
        <f t="shared" si="27"/>
        <v>4857484</v>
      </c>
    </row>
    <row r="111" spans="1:12" ht="15" customHeight="1" x14ac:dyDescent="0.25">
      <c r="A111" s="604"/>
      <c r="B111" s="607"/>
      <c r="C111" s="625"/>
      <c r="D111" s="613"/>
      <c r="E111" s="449" t="s">
        <v>138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7">
        <f t="shared" si="27"/>
        <v>0</v>
      </c>
    </row>
    <row r="112" spans="1:12" ht="15" customHeight="1" thickBot="1" x14ac:dyDescent="0.3">
      <c r="A112" s="605"/>
      <c r="B112" s="608"/>
      <c r="C112" s="626"/>
      <c r="D112" s="614"/>
      <c r="E112" s="450" t="s">
        <v>105</v>
      </c>
      <c r="F112" s="374">
        <f t="shared" ref="F112:K112" si="35">SUM(F110:F111)</f>
        <v>0</v>
      </c>
      <c r="G112" s="374">
        <f t="shared" si="35"/>
        <v>0</v>
      </c>
      <c r="H112" s="374">
        <f t="shared" si="35"/>
        <v>0</v>
      </c>
      <c r="I112" s="374">
        <f t="shared" si="35"/>
        <v>4398182</v>
      </c>
      <c r="J112" s="374">
        <f t="shared" si="35"/>
        <v>4398182</v>
      </c>
      <c r="K112" s="374">
        <f t="shared" si="35"/>
        <v>459302</v>
      </c>
      <c r="L112" s="375">
        <f t="shared" si="27"/>
        <v>4857484</v>
      </c>
    </row>
    <row r="113" spans="1:12" ht="15" customHeight="1" x14ac:dyDescent="0.25">
      <c r="A113" s="604" t="s">
        <v>128</v>
      </c>
      <c r="B113" s="607" t="s">
        <v>111</v>
      </c>
      <c r="C113" s="622" t="s">
        <v>151</v>
      </c>
      <c r="D113" s="613">
        <v>1</v>
      </c>
      <c r="E113" s="453" t="s">
        <v>137</v>
      </c>
      <c r="F113" s="110">
        <f>33900000-33900000</f>
        <v>0</v>
      </c>
      <c r="G113" s="110">
        <v>0</v>
      </c>
      <c r="H113" s="110">
        <v>0</v>
      </c>
      <c r="I113" s="110">
        <v>0</v>
      </c>
      <c r="J113" s="110">
        <f>SUM(F113:I113)</f>
        <v>0</v>
      </c>
      <c r="K113" s="110">
        <v>0</v>
      </c>
      <c r="L113" s="111">
        <f t="shared" si="27"/>
        <v>0</v>
      </c>
    </row>
    <row r="114" spans="1:12" ht="15" customHeight="1" x14ac:dyDescent="0.25">
      <c r="A114" s="604"/>
      <c r="B114" s="607"/>
      <c r="C114" s="622"/>
      <c r="D114" s="613"/>
      <c r="E114" s="449" t="s">
        <v>138</v>
      </c>
      <c r="F114" s="112">
        <v>33900000</v>
      </c>
      <c r="G114" s="112">
        <v>0</v>
      </c>
      <c r="H114" s="112">
        <v>0</v>
      </c>
      <c r="I114" s="112">
        <v>0</v>
      </c>
      <c r="J114" s="110">
        <f>SUM(F114:I114)</f>
        <v>33900000</v>
      </c>
      <c r="K114" s="112">
        <v>0</v>
      </c>
      <c r="L114" s="117">
        <f t="shared" si="27"/>
        <v>33900000</v>
      </c>
    </row>
    <row r="115" spans="1:12" ht="15" customHeight="1" thickBot="1" x14ac:dyDescent="0.3">
      <c r="A115" s="605"/>
      <c r="B115" s="608"/>
      <c r="C115" s="623"/>
      <c r="D115" s="614"/>
      <c r="E115" s="450" t="s">
        <v>105</v>
      </c>
      <c r="F115" s="374">
        <f t="shared" ref="F115:K115" si="36">SUM(F113:F114)</f>
        <v>33900000</v>
      </c>
      <c r="G115" s="374">
        <f t="shared" si="36"/>
        <v>0</v>
      </c>
      <c r="H115" s="374">
        <f t="shared" si="36"/>
        <v>0</v>
      </c>
      <c r="I115" s="374">
        <f t="shared" si="36"/>
        <v>0</v>
      </c>
      <c r="J115" s="374">
        <f t="shared" si="36"/>
        <v>33900000</v>
      </c>
      <c r="K115" s="374">
        <f t="shared" si="36"/>
        <v>0</v>
      </c>
      <c r="L115" s="375">
        <f t="shared" si="27"/>
        <v>33900000</v>
      </c>
    </row>
    <row r="116" spans="1:12" ht="15" customHeight="1" x14ac:dyDescent="0.25">
      <c r="A116" s="603" t="s">
        <v>129</v>
      </c>
      <c r="B116" s="606" t="s">
        <v>145</v>
      </c>
      <c r="C116" s="609" t="s">
        <v>152</v>
      </c>
      <c r="D116" s="612">
        <v>1</v>
      </c>
      <c r="E116" s="448" t="s">
        <v>137</v>
      </c>
      <c r="F116" s="107">
        <v>0</v>
      </c>
      <c r="G116" s="107">
        <v>0</v>
      </c>
      <c r="H116" s="107">
        <v>0</v>
      </c>
      <c r="I116" s="107">
        <v>41321847</v>
      </c>
      <c r="J116" s="107">
        <f>SUM(F116:I116)</f>
        <v>41321847</v>
      </c>
      <c r="K116" s="107">
        <v>0</v>
      </c>
      <c r="L116" s="109">
        <f t="shared" si="27"/>
        <v>41321847</v>
      </c>
    </row>
    <row r="117" spans="1:12" ht="15" customHeight="1" x14ac:dyDescent="0.25">
      <c r="A117" s="604"/>
      <c r="B117" s="607"/>
      <c r="C117" s="610"/>
      <c r="D117" s="613"/>
      <c r="E117" s="449" t="s">
        <v>138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7">
        <f t="shared" si="27"/>
        <v>0</v>
      </c>
    </row>
    <row r="118" spans="1:12" ht="15" customHeight="1" thickBot="1" x14ac:dyDescent="0.3">
      <c r="A118" s="605"/>
      <c r="B118" s="608"/>
      <c r="C118" s="611"/>
      <c r="D118" s="614"/>
      <c r="E118" s="450" t="s">
        <v>105</v>
      </c>
      <c r="F118" s="374">
        <f t="shared" ref="F118:K118" si="37">SUM(F116:F117)</f>
        <v>0</v>
      </c>
      <c r="G118" s="374">
        <f t="shared" si="37"/>
        <v>0</v>
      </c>
      <c r="H118" s="374">
        <f t="shared" si="37"/>
        <v>0</v>
      </c>
      <c r="I118" s="374">
        <f t="shared" si="37"/>
        <v>41321847</v>
      </c>
      <c r="J118" s="374">
        <f t="shared" si="37"/>
        <v>41321847</v>
      </c>
      <c r="K118" s="374">
        <f t="shared" si="37"/>
        <v>0</v>
      </c>
      <c r="L118" s="375">
        <f t="shared" si="27"/>
        <v>41321847</v>
      </c>
    </row>
    <row r="119" spans="1:12" ht="15" customHeight="1" x14ac:dyDescent="0.25">
      <c r="A119" s="603" t="s">
        <v>133</v>
      </c>
      <c r="B119" s="620" t="s">
        <v>166</v>
      </c>
      <c r="C119" s="621" t="s">
        <v>167</v>
      </c>
      <c r="D119" s="612">
        <v>1</v>
      </c>
      <c r="E119" s="448" t="s">
        <v>137</v>
      </c>
      <c r="F119" s="107">
        <v>377789616</v>
      </c>
      <c r="G119" s="107">
        <v>0</v>
      </c>
      <c r="H119" s="107">
        <v>0</v>
      </c>
      <c r="I119" s="107">
        <v>160072642</v>
      </c>
      <c r="J119" s="107">
        <f>SUM(F119:I119)</f>
        <v>537862258</v>
      </c>
      <c r="K119" s="107">
        <v>0</v>
      </c>
      <c r="L119" s="109">
        <f t="shared" si="27"/>
        <v>537862258</v>
      </c>
    </row>
    <row r="120" spans="1:12" ht="15" customHeight="1" x14ac:dyDescent="0.25">
      <c r="A120" s="604"/>
      <c r="B120" s="618"/>
      <c r="C120" s="622"/>
      <c r="D120" s="613"/>
      <c r="E120" s="449" t="s">
        <v>138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7">
        <f t="shared" si="27"/>
        <v>0</v>
      </c>
    </row>
    <row r="121" spans="1:12" ht="15" customHeight="1" thickBot="1" x14ac:dyDescent="0.3">
      <c r="A121" s="605"/>
      <c r="B121" s="619"/>
      <c r="C121" s="623"/>
      <c r="D121" s="614"/>
      <c r="E121" s="450" t="s">
        <v>105</v>
      </c>
      <c r="F121" s="374">
        <f t="shared" ref="F121:K121" si="38">SUM(F119:F120)</f>
        <v>377789616</v>
      </c>
      <c r="G121" s="374">
        <f t="shared" si="38"/>
        <v>0</v>
      </c>
      <c r="H121" s="374">
        <f t="shared" si="38"/>
        <v>0</v>
      </c>
      <c r="I121" s="374">
        <f t="shared" si="38"/>
        <v>160072642</v>
      </c>
      <c r="J121" s="374">
        <f t="shared" si="38"/>
        <v>537862258</v>
      </c>
      <c r="K121" s="374">
        <f t="shared" si="38"/>
        <v>0</v>
      </c>
      <c r="L121" s="375">
        <f t="shared" si="27"/>
        <v>537862258</v>
      </c>
    </row>
    <row r="122" spans="1:12" ht="15" customHeight="1" x14ac:dyDescent="0.25">
      <c r="A122" s="603" t="s">
        <v>149</v>
      </c>
      <c r="B122" s="620" t="s">
        <v>208</v>
      </c>
      <c r="C122" s="621" t="s">
        <v>209</v>
      </c>
      <c r="D122" s="612">
        <v>1</v>
      </c>
      <c r="E122" s="448" t="s">
        <v>137</v>
      </c>
      <c r="F122" s="107">
        <v>0</v>
      </c>
      <c r="G122" s="107">
        <v>0</v>
      </c>
      <c r="H122" s="107">
        <v>0</v>
      </c>
      <c r="I122" s="107">
        <v>46831173</v>
      </c>
      <c r="J122" s="107">
        <f>SUM(F122:I122)</f>
        <v>46831173</v>
      </c>
      <c r="K122" s="107">
        <v>0</v>
      </c>
      <c r="L122" s="109">
        <f t="shared" si="27"/>
        <v>46831173</v>
      </c>
    </row>
    <row r="123" spans="1:12" ht="15" customHeight="1" x14ac:dyDescent="0.25">
      <c r="A123" s="604"/>
      <c r="B123" s="618"/>
      <c r="C123" s="622"/>
      <c r="D123" s="613"/>
      <c r="E123" s="449" t="s">
        <v>138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7">
        <f t="shared" si="27"/>
        <v>0</v>
      </c>
    </row>
    <row r="124" spans="1:12" ht="15" customHeight="1" thickBot="1" x14ac:dyDescent="0.3">
      <c r="A124" s="605"/>
      <c r="B124" s="619"/>
      <c r="C124" s="623"/>
      <c r="D124" s="614"/>
      <c r="E124" s="450" t="s">
        <v>105</v>
      </c>
      <c r="F124" s="374">
        <f t="shared" ref="F124:K124" si="39">SUM(F122:F123)</f>
        <v>0</v>
      </c>
      <c r="G124" s="374">
        <f t="shared" si="39"/>
        <v>0</v>
      </c>
      <c r="H124" s="374">
        <f t="shared" si="39"/>
        <v>0</v>
      </c>
      <c r="I124" s="374">
        <f t="shared" si="39"/>
        <v>46831173</v>
      </c>
      <c r="J124" s="374">
        <f t="shared" si="39"/>
        <v>46831173</v>
      </c>
      <c r="K124" s="374">
        <f t="shared" si="39"/>
        <v>0</v>
      </c>
      <c r="L124" s="375">
        <f t="shared" si="27"/>
        <v>46831173</v>
      </c>
    </row>
    <row r="125" spans="1:12" ht="15" customHeight="1" x14ac:dyDescent="0.25">
      <c r="A125" s="603" t="s">
        <v>153</v>
      </c>
      <c r="B125" s="606" t="s">
        <v>227</v>
      </c>
      <c r="C125" s="615" t="s">
        <v>228</v>
      </c>
      <c r="D125" s="612">
        <v>1</v>
      </c>
      <c r="E125" s="448" t="s">
        <v>137</v>
      </c>
      <c r="F125" s="107">
        <v>0</v>
      </c>
      <c r="G125" s="107">
        <v>0</v>
      </c>
      <c r="H125" s="107">
        <v>0</v>
      </c>
      <c r="I125" s="107">
        <v>132800557</v>
      </c>
      <c r="J125" s="107">
        <f>SUM(F125:I125)</f>
        <v>132800557</v>
      </c>
      <c r="K125" s="107">
        <v>0</v>
      </c>
      <c r="L125" s="109">
        <f t="shared" si="27"/>
        <v>132800557</v>
      </c>
    </row>
    <row r="126" spans="1:12" ht="15" customHeight="1" x14ac:dyDescent="0.25">
      <c r="A126" s="604"/>
      <c r="B126" s="607"/>
      <c r="C126" s="616"/>
      <c r="D126" s="613"/>
      <c r="E126" s="449" t="s">
        <v>138</v>
      </c>
      <c r="F126" s="112">
        <v>0</v>
      </c>
      <c r="G126" s="112">
        <v>0</v>
      </c>
      <c r="H126" s="112">
        <v>0</v>
      </c>
      <c r="I126" s="112">
        <v>0</v>
      </c>
      <c r="J126" s="110">
        <f>SUM(F126:I126)</f>
        <v>0</v>
      </c>
      <c r="K126" s="112">
        <v>0</v>
      </c>
      <c r="L126" s="117">
        <f t="shared" si="27"/>
        <v>0</v>
      </c>
    </row>
    <row r="127" spans="1:12" ht="15" customHeight="1" thickBot="1" x14ac:dyDescent="0.3">
      <c r="A127" s="605"/>
      <c r="B127" s="608"/>
      <c r="C127" s="617"/>
      <c r="D127" s="614"/>
      <c r="E127" s="450" t="s">
        <v>105</v>
      </c>
      <c r="F127" s="374">
        <f t="shared" ref="F127:K127" si="40">SUM(F125:F126)</f>
        <v>0</v>
      </c>
      <c r="G127" s="374">
        <f t="shared" si="40"/>
        <v>0</v>
      </c>
      <c r="H127" s="374">
        <f t="shared" si="40"/>
        <v>0</v>
      </c>
      <c r="I127" s="374">
        <f t="shared" si="40"/>
        <v>132800557</v>
      </c>
      <c r="J127" s="374">
        <f t="shared" si="40"/>
        <v>132800557</v>
      </c>
      <c r="K127" s="374">
        <f t="shared" si="40"/>
        <v>0</v>
      </c>
      <c r="L127" s="375">
        <f t="shared" si="27"/>
        <v>132800557</v>
      </c>
    </row>
    <row r="128" spans="1:12" ht="15" customHeight="1" x14ac:dyDescent="0.25">
      <c r="A128" s="603" t="s">
        <v>154</v>
      </c>
      <c r="B128" s="606" t="s">
        <v>229</v>
      </c>
      <c r="C128" s="615" t="s">
        <v>230</v>
      </c>
      <c r="D128" s="612">
        <v>1</v>
      </c>
      <c r="E128" s="448" t="s">
        <v>137</v>
      </c>
      <c r="F128" s="107">
        <v>0</v>
      </c>
      <c r="G128" s="107">
        <v>0</v>
      </c>
      <c r="H128" s="107">
        <v>0</v>
      </c>
      <c r="I128" s="107">
        <v>74996893</v>
      </c>
      <c r="J128" s="107">
        <f>SUM(F128:I128)</f>
        <v>74996893</v>
      </c>
      <c r="K128" s="107">
        <v>0</v>
      </c>
      <c r="L128" s="109">
        <f t="shared" si="27"/>
        <v>74996893</v>
      </c>
    </row>
    <row r="129" spans="1:12" ht="15" customHeight="1" x14ac:dyDescent="0.25">
      <c r="A129" s="604"/>
      <c r="B129" s="607"/>
      <c r="C129" s="616"/>
      <c r="D129" s="613"/>
      <c r="E129" s="449" t="s">
        <v>138</v>
      </c>
      <c r="F129" s="112">
        <v>0</v>
      </c>
      <c r="G129" s="112">
        <v>0</v>
      </c>
      <c r="H129" s="112">
        <v>0</v>
      </c>
      <c r="I129" s="112">
        <v>0</v>
      </c>
      <c r="J129" s="110">
        <f>SUM(F129:I129)</f>
        <v>0</v>
      </c>
      <c r="K129" s="112">
        <v>0</v>
      </c>
      <c r="L129" s="117">
        <f t="shared" si="27"/>
        <v>0</v>
      </c>
    </row>
    <row r="130" spans="1:12" ht="15" customHeight="1" thickBot="1" x14ac:dyDescent="0.3">
      <c r="A130" s="605"/>
      <c r="B130" s="608"/>
      <c r="C130" s="617"/>
      <c r="D130" s="614"/>
      <c r="E130" s="450" t="s">
        <v>105</v>
      </c>
      <c r="F130" s="374">
        <f t="shared" ref="F130:K130" si="41">SUM(F128:F129)</f>
        <v>0</v>
      </c>
      <c r="G130" s="374">
        <f t="shared" si="41"/>
        <v>0</v>
      </c>
      <c r="H130" s="374">
        <f t="shared" si="41"/>
        <v>0</v>
      </c>
      <c r="I130" s="374">
        <f t="shared" si="41"/>
        <v>74996893</v>
      </c>
      <c r="J130" s="374">
        <f t="shared" si="41"/>
        <v>74996893</v>
      </c>
      <c r="K130" s="374">
        <f t="shared" si="41"/>
        <v>0</v>
      </c>
      <c r="L130" s="375">
        <f t="shared" si="27"/>
        <v>74996893</v>
      </c>
    </row>
    <row r="131" spans="1:12" ht="15" customHeight="1" x14ac:dyDescent="0.25">
      <c r="A131" s="604" t="s">
        <v>155</v>
      </c>
      <c r="B131" s="618" t="s">
        <v>173</v>
      </c>
      <c r="C131" s="610" t="s">
        <v>174</v>
      </c>
      <c r="D131" s="613">
        <v>1</v>
      </c>
      <c r="E131" s="453" t="s">
        <v>137</v>
      </c>
      <c r="F131" s="110">
        <v>0</v>
      </c>
      <c r="G131" s="110">
        <v>0</v>
      </c>
      <c r="H131" s="110">
        <v>0</v>
      </c>
      <c r="I131" s="110">
        <v>216635</v>
      </c>
      <c r="J131" s="110">
        <f>SUM(F131:I131)</f>
        <v>216635</v>
      </c>
      <c r="K131" s="110">
        <v>0</v>
      </c>
      <c r="L131" s="111">
        <f t="shared" si="27"/>
        <v>216635</v>
      </c>
    </row>
    <row r="132" spans="1:12" ht="15" customHeight="1" x14ac:dyDescent="0.25">
      <c r="A132" s="604"/>
      <c r="B132" s="618"/>
      <c r="C132" s="610"/>
      <c r="D132" s="613"/>
      <c r="E132" s="449" t="s">
        <v>138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7">
        <f t="shared" si="27"/>
        <v>0</v>
      </c>
    </row>
    <row r="133" spans="1:12" ht="15" customHeight="1" thickBot="1" x14ac:dyDescent="0.3">
      <c r="A133" s="605"/>
      <c r="B133" s="619"/>
      <c r="C133" s="611"/>
      <c r="D133" s="614"/>
      <c r="E133" s="450" t="s">
        <v>105</v>
      </c>
      <c r="F133" s="374">
        <f t="shared" ref="F133:K133" si="42">SUM(F131:F132)</f>
        <v>0</v>
      </c>
      <c r="G133" s="374">
        <f t="shared" si="42"/>
        <v>0</v>
      </c>
      <c r="H133" s="374">
        <f t="shared" si="42"/>
        <v>0</v>
      </c>
      <c r="I133" s="374">
        <f t="shared" si="42"/>
        <v>216635</v>
      </c>
      <c r="J133" s="374">
        <f t="shared" si="42"/>
        <v>216635</v>
      </c>
      <c r="K133" s="374">
        <f t="shared" si="42"/>
        <v>0</v>
      </c>
      <c r="L133" s="375">
        <f t="shared" si="27"/>
        <v>216635</v>
      </c>
    </row>
    <row r="134" spans="1:12" ht="15" customHeight="1" x14ac:dyDescent="0.25">
      <c r="A134" s="603" t="s">
        <v>156</v>
      </c>
      <c r="B134" s="606" t="s">
        <v>176</v>
      </c>
      <c r="C134" s="609" t="s">
        <v>177</v>
      </c>
      <c r="D134" s="612">
        <v>1</v>
      </c>
      <c r="E134" s="448" t="s">
        <v>137</v>
      </c>
      <c r="F134" s="107">
        <v>0</v>
      </c>
      <c r="G134" s="107">
        <v>0</v>
      </c>
      <c r="H134" s="107">
        <v>0</v>
      </c>
      <c r="I134" s="107">
        <v>246112</v>
      </c>
      <c r="J134" s="107">
        <f>SUM(F134:I134)</f>
        <v>246112</v>
      </c>
      <c r="K134" s="107">
        <v>0</v>
      </c>
      <c r="L134" s="109">
        <f t="shared" si="27"/>
        <v>246112</v>
      </c>
    </row>
    <row r="135" spans="1:12" ht="15" customHeight="1" x14ac:dyDescent="0.25">
      <c r="A135" s="604"/>
      <c r="B135" s="607"/>
      <c r="C135" s="610"/>
      <c r="D135" s="613"/>
      <c r="E135" s="449" t="s">
        <v>138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7">
        <f t="shared" si="27"/>
        <v>0</v>
      </c>
    </row>
    <row r="136" spans="1:12" ht="15" customHeight="1" thickBot="1" x14ac:dyDescent="0.3">
      <c r="A136" s="605"/>
      <c r="B136" s="608"/>
      <c r="C136" s="611"/>
      <c r="D136" s="614"/>
      <c r="E136" s="450" t="s">
        <v>105</v>
      </c>
      <c r="F136" s="374">
        <f t="shared" ref="F136:K136" si="43">SUM(F134:F135)</f>
        <v>0</v>
      </c>
      <c r="G136" s="374">
        <f t="shared" si="43"/>
        <v>0</v>
      </c>
      <c r="H136" s="374">
        <f t="shared" si="43"/>
        <v>0</v>
      </c>
      <c r="I136" s="374">
        <f t="shared" si="43"/>
        <v>246112</v>
      </c>
      <c r="J136" s="374">
        <f t="shared" si="43"/>
        <v>246112</v>
      </c>
      <c r="K136" s="374">
        <f t="shared" si="43"/>
        <v>0</v>
      </c>
      <c r="L136" s="375">
        <f t="shared" si="27"/>
        <v>246112</v>
      </c>
    </row>
    <row r="137" spans="1:12" ht="15" customHeight="1" x14ac:dyDescent="0.25">
      <c r="A137" s="603" t="s">
        <v>157</v>
      </c>
      <c r="B137" s="606" t="s">
        <v>179</v>
      </c>
      <c r="C137" s="609" t="s">
        <v>180</v>
      </c>
      <c r="D137" s="612">
        <v>1</v>
      </c>
      <c r="E137" s="448" t="s">
        <v>137</v>
      </c>
      <c r="F137" s="107">
        <v>0</v>
      </c>
      <c r="G137" s="107">
        <v>0</v>
      </c>
      <c r="H137" s="107">
        <v>0</v>
      </c>
      <c r="I137" s="107">
        <v>101369</v>
      </c>
      <c r="J137" s="107">
        <f>SUM(F137:I137)</f>
        <v>101369</v>
      </c>
      <c r="K137" s="107">
        <v>0</v>
      </c>
      <c r="L137" s="109">
        <f t="shared" si="27"/>
        <v>101369</v>
      </c>
    </row>
    <row r="138" spans="1:12" ht="15" customHeight="1" x14ac:dyDescent="0.25">
      <c r="A138" s="604"/>
      <c r="B138" s="607"/>
      <c r="C138" s="610"/>
      <c r="D138" s="613"/>
      <c r="E138" s="449" t="s">
        <v>138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7">
        <f t="shared" si="27"/>
        <v>0</v>
      </c>
    </row>
    <row r="139" spans="1:12" ht="15" customHeight="1" thickBot="1" x14ac:dyDescent="0.3">
      <c r="A139" s="605"/>
      <c r="B139" s="608"/>
      <c r="C139" s="611"/>
      <c r="D139" s="614"/>
      <c r="E139" s="450" t="s">
        <v>105</v>
      </c>
      <c r="F139" s="374">
        <f t="shared" ref="F139:K139" si="44">SUM(F137:F138)</f>
        <v>0</v>
      </c>
      <c r="G139" s="374">
        <f t="shared" si="44"/>
        <v>0</v>
      </c>
      <c r="H139" s="374">
        <f t="shared" si="44"/>
        <v>0</v>
      </c>
      <c r="I139" s="374">
        <f t="shared" si="44"/>
        <v>101369</v>
      </c>
      <c r="J139" s="374">
        <f t="shared" si="44"/>
        <v>101369</v>
      </c>
      <c r="K139" s="374">
        <f t="shared" si="44"/>
        <v>0</v>
      </c>
      <c r="L139" s="375">
        <f t="shared" si="27"/>
        <v>101369</v>
      </c>
    </row>
    <row r="140" spans="1:12" ht="15" customHeight="1" x14ac:dyDescent="0.25">
      <c r="A140" s="603" t="s">
        <v>168</v>
      </c>
      <c r="B140" s="607" t="s">
        <v>181</v>
      </c>
      <c r="C140" s="610" t="s">
        <v>182</v>
      </c>
      <c r="D140" s="613">
        <v>1</v>
      </c>
      <c r="E140" s="448" t="s">
        <v>137</v>
      </c>
      <c r="F140" s="107">
        <v>0</v>
      </c>
      <c r="G140" s="107">
        <v>0</v>
      </c>
      <c r="H140" s="107">
        <v>0</v>
      </c>
      <c r="I140" s="107">
        <v>1065981</v>
      </c>
      <c r="J140" s="107">
        <f>SUM(F140:I140)</f>
        <v>1065981</v>
      </c>
      <c r="K140" s="107">
        <v>0</v>
      </c>
      <c r="L140" s="109">
        <f t="shared" si="27"/>
        <v>1065981</v>
      </c>
    </row>
    <row r="141" spans="1:12" ht="15" customHeight="1" x14ac:dyDescent="0.25">
      <c r="A141" s="604"/>
      <c r="B141" s="607"/>
      <c r="C141" s="610"/>
      <c r="D141" s="613"/>
      <c r="E141" s="449" t="s">
        <v>138</v>
      </c>
      <c r="F141" s="112">
        <v>0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7">
        <f t="shared" si="27"/>
        <v>0</v>
      </c>
    </row>
    <row r="142" spans="1:12" ht="15" customHeight="1" thickBot="1" x14ac:dyDescent="0.3">
      <c r="A142" s="604"/>
      <c r="B142" s="607"/>
      <c r="C142" s="610"/>
      <c r="D142" s="613"/>
      <c r="E142" s="454" t="s">
        <v>105</v>
      </c>
      <c r="F142" s="376">
        <f t="shared" ref="F142:K142" si="45">SUM(F140:F141)</f>
        <v>0</v>
      </c>
      <c r="G142" s="376">
        <f t="shared" si="45"/>
        <v>0</v>
      </c>
      <c r="H142" s="376">
        <f t="shared" si="45"/>
        <v>0</v>
      </c>
      <c r="I142" s="376">
        <f t="shared" si="45"/>
        <v>1065981</v>
      </c>
      <c r="J142" s="376">
        <f t="shared" si="45"/>
        <v>1065981</v>
      </c>
      <c r="K142" s="376">
        <f t="shared" si="45"/>
        <v>0</v>
      </c>
      <c r="L142" s="377">
        <f t="shared" si="27"/>
        <v>1065981</v>
      </c>
    </row>
    <row r="143" spans="1:12" ht="15" customHeight="1" x14ac:dyDescent="0.25">
      <c r="A143" s="603" t="s">
        <v>169</v>
      </c>
      <c r="B143" s="606" t="s">
        <v>183</v>
      </c>
      <c r="C143" s="609" t="s">
        <v>184</v>
      </c>
      <c r="D143" s="612">
        <v>1</v>
      </c>
      <c r="E143" s="448" t="s">
        <v>137</v>
      </c>
      <c r="F143" s="107">
        <v>0</v>
      </c>
      <c r="G143" s="107">
        <v>0</v>
      </c>
      <c r="H143" s="107">
        <v>0</v>
      </c>
      <c r="I143" s="107">
        <f>506676+175200</f>
        <v>681876</v>
      </c>
      <c r="J143" s="107">
        <f>SUM(F143:I143)</f>
        <v>681876</v>
      </c>
      <c r="K143" s="107">
        <v>0</v>
      </c>
      <c r="L143" s="109">
        <f t="shared" si="27"/>
        <v>681876</v>
      </c>
    </row>
    <row r="144" spans="1:12" ht="15" customHeight="1" x14ac:dyDescent="0.25">
      <c r="A144" s="604"/>
      <c r="B144" s="607"/>
      <c r="C144" s="610"/>
      <c r="D144" s="613"/>
      <c r="E144" s="449" t="s">
        <v>138</v>
      </c>
      <c r="F144" s="112">
        <v>0</v>
      </c>
      <c r="G144" s="112">
        <v>0</v>
      </c>
      <c r="H144" s="112">
        <v>0</v>
      </c>
      <c r="I144" s="112">
        <v>0</v>
      </c>
      <c r="J144" s="112">
        <v>0</v>
      </c>
      <c r="K144" s="112">
        <v>0</v>
      </c>
      <c r="L144" s="117">
        <f t="shared" si="27"/>
        <v>0</v>
      </c>
    </row>
    <row r="145" spans="1:12" ht="15" customHeight="1" thickBot="1" x14ac:dyDescent="0.3">
      <c r="A145" s="605"/>
      <c r="B145" s="608"/>
      <c r="C145" s="611"/>
      <c r="D145" s="614"/>
      <c r="E145" s="450" t="s">
        <v>105</v>
      </c>
      <c r="F145" s="374">
        <f t="shared" ref="F145:K145" si="46">SUM(F143:F144)</f>
        <v>0</v>
      </c>
      <c r="G145" s="374">
        <f t="shared" si="46"/>
        <v>0</v>
      </c>
      <c r="H145" s="374">
        <f t="shared" si="46"/>
        <v>0</v>
      </c>
      <c r="I145" s="374">
        <f t="shared" si="46"/>
        <v>681876</v>
      </c>
      <c r="J145" s="374">
        <f t="shared" si="46"/>
        <v>681876</v>
      </c>
      <c r="K145" s="374">
        <f t="shared" si="46"/>
        <v>0</v>
      </c>
      <c r="L145" s="375">
        <f t="shared" si="27"/>
        <v>681876</v>
      </c>
    </row>
    <row r="146" spans="1:12" ht="15" customHeight="1" x14ac:dyDescent="0.25">
      <c r="A146" s="603" t="s">
        <v>170</v>
      </c>
      <c r="B146" s="606" t="s">
        <v>186</v>
      </c>
      <c r="C146" s="609" t="s">
        <v>187</v>
      </c>
      <c r="D146" s="612">
        <v>1</v>
      </c>
      <c r="E146" s="448" t="s">
        <v>137</v>
      </c>
      <c r="F146" s="107">
        <v>0</v>
      </c>
      <c r="G146" s="107">
        <v>0</v>
      </c>
      <c r="H146" s="107">
        <v>0</v>
      </c>
      <c r="I146" s="107">
        <v>242816</v>
      </c>
      <c r="J146" s="107">
        <f>SUM(F146:I146)</f>
        <v>242816</v>
      </c>
      <c r="K146" s="107">
        <v>0</v>
      </c>
      <c r="L146" s="109">
        <f t="shared" si="27"/>
        <v>242816</v>
      </c>
    </row>
    <row r="147" spans="1:12" ht="15" customHeight="1" x14ac:dyDescent="0.25">
      <c r="A147" s="604"/>
      <c r="B147" s="607"/>
      <c r="C147" s="610"/>
      <c r="D147" s="613"/>
      <c r="E147" s="449" t="s">
        <v>138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7">
        <f t="shared" si="27"/>
        <v>0</v>
      </c>
    </row>
    <row r="148" spans="1:12" ht="15" customHeight="1" thickBot="1" x14ac:dyDescent="0.3">
      <c r="A148" s="605"/>
      <c r="B148" s="608"/>
      <c r="C148" s="611"/>
      <c r="D148" s="614"/>
      <c r="E148" s="450" t="s">
        <v>105</v>
      </c>
      <c r="F148" s="374">
        <f t="shared" ref="F148:K148" si="47">SUM(F146:F147)</f>
        <v>0</v>
      </c>
      <c r="G148" s="374">
        <f t="shared" si="47"/>
        <v>0</v>
      </c>
      <c r="H148" s="374">
        <f t="shared" si="47"/>
        <v>0</v>
      </c>
      <c r="I148" s="374">
        <f t="shared" si="47"/>
        <v>242816</v>
      </c>
      <c r="J148" s="374">
        <f t="shared" si="47"/>
        <v>242816</v>
      </c>
      <c r="K148" s="374">
        <f t="shared" si="47"/>
        <v>0</v>
      </c>
      <c r="L148" s="375">
        <f t="shared" si="27"/>
        <v>242816</v>
      </c>
    </row>
    <row r="149" spans="1:12" ht="15" customHeight="1" x14ac:dyDescent="0.25">
      <c r="A149" s="596" t="s">
        <v>109</v>
      </c>
      <c r="B149" s="597"/>
      <c r="C149" s="597"/>
      <c r="D149" s="598"/>
      <c r="E149" s="302" t="s">
        <v>137</v>
      </c>
      <c r="F149" s="303">
        <f t="shared" ref="F149:L149" si="48">F86+F89+F92+F95+F98+F101+F104+F107+F110+F113+F116+F119+F122+F125+F128+F131+F134+F137+F140+F143+F146</f>
        <v>409955074</v>
      </c>
      <c r="G149" s="303">
        <f t="shared" si="48"/>
        <v>32768660</v>
      </c>
      <c r="H149" s="303">
        <f t="shared" si="48"/>
        <v>0</v>
      </c>
      <c r="I149" s="303">
        <f t="shared" si="48"/>
        <v>463472550</v>
      </c>
      <c r="J149" s="303">
        <f t="shared" si="48"/>
        <v>906196284</v>
      </c>
      <c r="K149" s="303">
        <f t="shared" si="48"/>
        <v>8136381</v>
      </c>
      <c r="L149" s="304">
        <f t="shared" si="48"/>
        <v>914332665</v>
      </c>
    </row>
    <row r="150" spans="1:12" ht="15" customHeight="1" x14ac:dyDescent="0.25">
      <c r="A150" s="599"/>
      <c r="B150" s="600"/>
      <c r="C150" s="600"/>
      <c r="D150" s="601"/>
      <c r="E150" s="311" t="s">
        <v>138</v>
      </c>
      <c r="F150" s="306">
        <f t="shared" ref="F150:L150" si="49">F87+F90+F93+F96+F99+F102+F105+F108+F111+F114+F117+F120+F123+F126+F129+F132+F135+F138+F141+F144+F147</f>
        <v>33900000</v>
      </c>
      <c r="G150" s="306">
        <f t="shared" si="49"/>
        <v>0</v>
      </c>
      <c r="H150" s="306">
        <f t="shared" si="49"/>
        <v>0</v>
      </c>
      <c r="I150" s="306">
        <f t="shared" si="49"/>
        <v>0</v>
      </c>
      <c r="J150" s="306">
        <f t="shared" si="49"/>
        <v>33900000</v>
      </c>
      <c r="K150" s="306">
        <f t="shared" si="49"/>
        <v>0</v>
      </c>
      <c r="L150" s="307">
        <f t="shared" si="49"/>
        <v>33900000</v>
      </c>
    </row>
    <row r="151" spans="1:12" ht="15" customHeight="1" thickBot="1" x14ac:dyDescent="0.3">
      <c r="A151" s="567"/>
      <c r="B151" s="568"/>
      <c r="C151" s="568"/>
      <c r="D151" s="602"/>
      <c r="E151" s="312" t="s">
        <v>105</v>
      </c>
      <c r="F151" s="309">
        <f t="shared" ref="F151" si="50">SUM(F149:F150)</f>
        <v>443855074</v>
      </c>
      <c r="G151" s="309">
        <f t="shared" ref="G151" si="51">SUM(G149:G150)</f>
        <v>32768660</v>
      </c>
      <c r="H151" s="309">
        <f t="shared" ref="H151:L151" si="52">SUM(H149:H150)</f>
        <v>0</v>
      </c>
      <c r="I151" s="309">
        <f t="shared" si="52"/>
        <v>463472550</v>
      </c>
      <c r="J151" s="309">
        <f t="shared" si="52"/>
        <v>940096284</v>
      </c>
      <c r="K151" s="309">
        <f t="shared" si="52"/>
        <v>8136381</v>
      </c>
      <c r="L151" s="310">
        <f t="shared" si="52"/>
        <v>948232665</v>
      </c>
    </row>
  </sheetData>
  <mergeCells count="207">
    <mergeCell ref="C10:C12"/>
    <mergeCell ref="D10:D12"/>
    <mergeCell ref="E10:E12"/>
    <mergeCell ref="E1:L1"/>
    <mergeCell ref="A3:L3"/>
    <mergeCell ref="A4:L4"/>
    <mergeCell ref="A5:L5"/>
    <mergeCell ref="A6:L6"/>
    <mergeCell ref="K7:L7"/>
    <mergeCell ref="A16:A18"/>
    <mergeCell ref="B16:B18"/>
    <mergeCell ref="C16:C18"/>
    <mergeCell ref="D16:D18"/>
    <mergeCell ref="A19:A21"/>
    <mergeCell ref="B19:B21"/>
    <mergeCell ref="C19:C21"/>
    <mergeCell ref="D19:D21"/>
    <mergeCell ref="F10:J10"/>
    <mergeCell ref="F11:G11"/>
    <mergeCell ref="H11:H12"/>
    <mergeCell ref="I11:I12"/>
    <mergeCell ref="J11:J12"/>
    <mergeCell ref="A13:A15"/>
    <mergeCell ref="B13:B15"/>
    <mergeCell ref="C13:C15"/>
    <mergeCell ref="D13:D15"/>
    <mergeCell ref="A8:A12"/>
    <mergeCell ref="B8:D9"/>
    <mergeCell ref="E8:L8"/>
    <mergeCell ref="E9:J9"/>
    <mergeCell ref="K9:K12"/>
    <mergeCell ref="L9:L12"/>
    <mergeCell ref="B10:B12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70:A72"/>
    <mergeCell ref="B70:B72"/>
    <mergeCell ref="C70:C72"/>
    <mergeCell ref="D70:D72"/>
    <mergeCell ref="A73:A75"/>
    <mergeCell ref="B73:B75"/>
    <mergeCell ref="C73:C75"/>
    <mergeCell ref="D73:D75"/>
    <mergeCell ref="A76:D78"/>
    <mergeCell ref="D83:D85"/>
    <mergeCell ref="E83:E85"/>
    <mergeCell ref="F83:J83"/>
    <mergeCell ref="F84:G84"/>
    <mergeCell ref="H84:H85"/>
    <mergeCell ref="I84:I85"/>
    <mergeCell ref="J84:J85"/>
    <mergeCell ref="A79:H79"/>
    <mergeCell ref="A81:A85"/>
    <mergeCell ref="B81:D82"/>
    <mergeCell ref="E81:L81"/>
    <mergeCell ref="E82:J82"/>
    <mergeCell ref="K82:K85"/>
    <mergeCell ref="L82:L85"/>
    <mergeCell ref="B83:B85"/>
    <mergeCell ref="C83:C85"/>
    <mergeCell ref="A92:A94"/>
    <mergeCell ref="B92:B94"/>
    <mergeCell ref="C92:C94"/>
    <mergeCell ref="D92:D94"/>
    <mergeCell ref="A95:A97"/>
    <mergeCell ref="B95:B97"/>
    <mergeCell ref="C95:C97"/>
    <mergeCell ref="D95:D97"/>
    <mergeCell ref="A86:A88"/>
    <mergeCell ref="B86:B88"/>
    <mergeCell ref="C86:C88"/>
    <mergeCell ref="D86:D88"/>
    <mergeCell ref="A89:A91"/>
    <mergeCell ref="B89:B91"/>
    <mergeCell ref="C89:C91"/>
    <mergeCell ref="D89:D91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C110:C112"/>
    <mergeCell ref="D110:D112"/>
    <mergeCell ref="A113:A115"/>
    <mergeCell ref="B113:B115"/>
    <mergeCell ref="C113:C115"/>
    <mergeCell ref="D113:D115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2:A124"/>
    <mergeCell ref="B122:B124"/>
    <mergeCell ref="C122:C124"/>
    <mergeCell ref="D122:D124"/>
    <mergeCell ref="A125:A127"/>
    <mergeCell ref="B125:B127"/>
    <mergeCell ref="C125:C127"/>
    <mergeCell ref="D125:D127"/>
    <mergeCell ref="A149:D151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46:A148"/>
    <mergeCell ref="B146:B148"/>
    <mergeCell ref="C146:C148"/>
    <mergeCell ref="D146:D148"/>
    <mergeCell ref="A140:A142"/>
    <mergeCell ref="B140:B142"/>
    <mergeCell ref="C140:C142"/>
    <mergeCell ref="D140:D142"/>
    <mergeCell ref="A143:A145"/>
    <mergeCell ref="B143:B145"/>
    <mergeCell ref="C143:C145"/>
    <mergeCell ref="D143:D145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85" orientation="landscape" r:id="rId1"/>
  <rowBreaks count="3" manualBreakCount="3">
    <brk id="42" max="11" man="1"/>
    <brk id="79" max="11" man="1"/>
    <brk id="11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15E7D-BFAB-48EE-9B7A-D0A7691B3548}">
  <sheetPr>
    <tabColor theme="6" tint="0.59999389629810485"/>
  </sheetPr>
  <dimension ref="A1:L149"/>
  <sheetViews>
    <sheetView topLeftCell="A121" zoomScaleNormal="100" workbookViewId="0">
      <selection activeCell="S134" sqref="S134"/>
    </sheetView>
  </sheetViews>
  <sheetFormatPr defaultColWidth="9.140625" defaultRowHeight="15.75" x14ac:dyDescent="0.25"/>
  <cols>
    <col min="1" max="1" width="4.5703125" style="63" customWidth="1"/>
    <col min="2" max="2" width="20.140625" style="63" customWidth="1"/>
    <col min="3" max="3" width="29.140625" style="63" customWidth="1"/>
    <col min="4" max="4" width="13.28515625" style="63" customWidth="1"/>
    <col min="5" max="5" width="13.42578125" style="63" customWidth="1"/>
    <col min="6" max="6" width="13.7109375" style="63" customWidth="1"/>
    <col min="7" max="7" width="11.7109375" style="63" customWidth="1"/>
    <col min="8" max="8" width="13.7109375" style="63" customWidth="1"/>
    <col min="9" max="9" width="11.7109375" style="63" customWidth="1"/>
    <col min="10" max="10" width="13.28515625" style="63" customWidth="1"/>
    <col min="11" max="11" width="14.7109375" style="63" customWidth="1"/>
    <col min="12" max="16384" width="9.140625" style="63"/>
  </cols>
  <sheetData>
    <row r="1" spans="1:11" ht="18" customHeight="1" x14ac:dyDescent="0.25">
      <c r="A1" s="4"/>
      <c r="B1" s="4"/>
      <c r="C1" s="4"/>
      <c r="D1" s="4"/>
      <c r="E1" s="493" t="s">
        <v>261</v>
      </c>
      <c r="F1" s="493"/>
      <c r="G1" s="493"/>
      <c r="H1" s="493"/>
      <c r="I1" s="493"/>
      <c r="J1" s="493"/>
      <c r="K1" s="493"/>
    </row>
    <row r="2" spans="1:11" ht="16.5" customHeight="1" x14ac:dyDescent="0.25">
      <c r="A2" s="47"/>
      <c r="B2" s="47"/>
      <c r="C2" s="47"/>
      <c r="D2" s="47"/>
      <c r="E2" s="47"/>
      <c r="F2" s="212"/>
      <c r="G2" s="212"/>
      <c r="H2" s="88"/>
      <c r="I2" s="212"/>
      <c r="J2" s="212"/>
      <c r="K2" s="212"/>
    </row>
    <row r="3" spans="1:11" ht="16.5" customHeight="1" x14ac:dyDescent="0.25">
      <c r="A3" s="551" t="s">
        <v>238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1" ht="15.95" customHeight="1" x14ac:dyDescent="0.25">
      <c r="A4" s="586" t="s">
        <v>160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</row>
    <row r="5" spans="1:11" s="106" customFormat="1" ht="15.95" customHeight="1" x14ac:dyDescent="0.25">
      <c r="A5" s="551" t="s">
        <v>257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</row>
    <row r="6" spans="1:11" s="106" customFormat="1" ht="15.95" customHeight="1" x14ac:dyDescent="0.25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16.5" thickBot="1" x14ac:dyDescent="0.3">
      <c r="J7" s="649" t="s">
        <v>201</v>
      </c>
      <c r="K7" s="649"/>
    </row>
    <row r="8" spans="1:11" ht="15.75" customHeight="1" x14ac:dyDescent="0.25">
      <c r="A8" s="636" t="s">
        <v>9</v>
      </c>
      <c r="B8" s="639" t="s">
        <v>96</v>
      </c>
      <c r="C8" s="639"/>
      <c r="D8" s="639"/>
      <c r="E8" s="650" t="s">
        <v>266</v>
      </c>
      <c r="F8" s="650"/>
      <c r="G8" s="650"/>
      <c r="H8" s="650"/>
      <c r="I8" s="650"/>
      <c r="J8" s="650"/>
      <c r="K8" s="651"/>
    </row>
    <row r="9" spans="1:11" ht="15.95" customHeight="1" x14ac:dyDescent="0.25">
      <c r="A9" s="637"/>
      <c r="B9" s="629"/>
      <c r="C9" s="629"/>
      <c r="D9" s="629"/>
      <c r="E9" s="631" t="s">
        <v>139</v>
      </c>
      <c r="F9" s="631"/>
      <c r="G9" s="631"/>
      <c r="H9" s="631"/>
      <c r="I9" s="631"/>
      <c r="J9" s="631"/>
      <c r="K9" s="652"/>
    </row>
    <row r="10" spans="1:11" ht="15.95" customHeight="1" x14ac:dyDescent="0.25">
      <c r="A10" s="637"/>
      <c r="B10" s="653" t="s">
        <v>100</v>
      </c>
      <c r="C10" s="629" t="s">
        <v>101</v>
      </c>
      <c r="D10" s="629" t="s">
        <v>159</v>
      </c>
      <c r="E10" s="629" t="s">
        <v>135</v>
      </c>
      <c r="F10" s="631" t="s">
        <v>108</v>
      </c>
      <c r="G10" s="631"/>
      <c r="H10" s="631"/>
      <c r="I10" s="631"/>
      <c r="J10" s="631"/>
      <c r="K10" s="652"/>
    </row>
    <row r="11" spans="1:11" ht="24.75" customHeight="1" thickBot="1" x14ac:dyDescent="0.3">
      <c r="A11" s="638"/>
      <c r="B11" s="654"/>
      <c r="C11" s="630"/>
      <c r="D11" s="630"/>
      <c r="E11" s="630"/>
      <c r="F11" s="299" t="s">
        <v>140</v>
      </c>
      <c r="G11" s="299" t="s">
        <v>141</v>
      </c>
      <c r="H11" s="299" t="s">
        <v>142</v>
      </c>
      <c r="I11" s="300" t="s">
        <v>146</v>
      </c>
      <c r="J11" s="298" t="s">
        <v>143</v>
      </c>
      <c r="K11" s="301" t="s">
        <v>105</v>
      </c>
    </row>
    <row r="12" spans="1:11" ht="15" customHeight="1" x14ac:dyDescent="0.25">
      <c r="A12" s="603" t="s">
        <v>1</v>
      </c>
      <c r="B12" s="624" t="s">
        <v>162</v>
      </c>
      <c r="C12" s="624" t="s">
        <v>163</v>
      </c>
      <c r="D12" s="612">
        <v>0.95</v>
      </c>
      <c r="E12" s="89" t="s">
        <v>137</v>
      </c>
      <c r="F12" s="108">
        <v>1463600</v>
      </c>
      <c r="G12" s="108">
        <v>189268</v>
      </c>
      <c r="H12" s="108">
        <v>458749</v>
      </c>
      <c r="I12" s="108">
        <v>0</v>
      </c>
      <c r="J12" s="115">
        <v>0</v>
      </c>
      <c r="K12" s="267">
        <f>F12+G12+H12+I12+J12</f>
        <v>2111617</v>
      </c>
    </row>
    <row r="13" spans="1:11" ht="15" customHeight="1" x14ac:dyDescent="0.25">
      <c r="A13" s="604"/>
      <c r="B13" s="625"/>
      <c r="C13" s="625"/>
      <c r="D13" s="613"/>
      <c r="E13" s="50" t="s">
        <v>138</v>
      </c>
      <c r="F13" s="114">
        <v>0</v>
      </c>
      <c r="G13" s="114">
        <v>0</v>
      </c>
      <c r="H13" s="114">
        <v>0</v>
      </c>
      <c r="I13" s="114">
        <v>0</v>
      </c>
      <c r="J13" s="268">
        <v>0</v>
      </c>
      <c r="K13" s="264">
        <f>F13+G13+H13+I13+J13</f>
        <v>0</v>
      </c>
    </row>
    <row r="14" spans="1:11" ht="15" customHeight="1" thickBot="1" x14ac:dyDescent="0.3">
      <c r="A14" s="605"/>
      <c r="B14" s="626"/>
      <c r="C14" s="626"/>
      <c r="D14" s="614"/>
      <c r="E14" s="373" t="s">
        <v>105</v>
      </c>
      <c r="F14" s="374">
        <f t="shared" ref="F14:K14" si="0">SUM(F12:F13)</f>
        <v>1463600</v>
      </c>
      <c r="G14" s="374">
        <f t="shared" si="0"/>
        <v>189268</v>
      </c>
      <c r="H14" s="374">
        <f t="shared" si="0"/>
        <v>458749</v>
      </c>
      <c r="I14" s="374">
        <f t="shared" si="0"/>
        <v>0</v>
      </c>
      <c r="J14" s="374">
        <f t="shared" si="0"/>
        <v>0</v>
      </c>
      <c r="K14" s="375">
        <f t="shared" si="0"/>
        <v>2111617</v>
      </c>
    </row>
    <row r="15" spans="1:11" ht="15" customHeight="1" x14ac:dyDescent="0.25">
      <c r="A15" s="603" t="s">
        <v>2</v>
      </c>
      <c r="B15" s="624" t="s">
        <v>164</v>
      </c>
      <c r="C15" s="624" t="s">
        <v>165</v>
      </c>
      <c r="D15" s="612">
        <v>0.95</v>
      </c>
      <c r="E15" s="89" t="s">
        <v>137</v>
      </c>
      <c r="F15" s="108">
        <f>831800-64405</f>
        <v>767395</v>
      </c>
      <c r="G15" s="108">
        <f>112134-30719</f>
        <v>81415</v>
      </c>
      <c r="H15" s="108">
        <f>553117+95124</f>
        <v>648241</v>
      </c>
      <c r="I15" s="108">
        <v>0</v>
      </c>
      <c r="J15" s="115">
        <v>0</v>
      </c>
      <c r="K15" s="267">
        <f>F15+G15+H15+I15+J15</f>
        <v>1497051</v>
      </c>
    </row>
    <row r="16" spans="1:11" ht="15" customHeight="1" x14ac:dyDescent="0.25">
      <c r="A16" s="604"/>
      <c r="B16" s="625"/>
      <c r="C16" s="625"/>
      <c r="D16" s="613"/>
      <c r="E16" s="50" t="s">
        <v>138</v>
      </c>
      <c r="F16" s="114">
        <v>1200000</v>
      </c>
      <c r="G16" s="114">
        <v>156000</v>
      </c>
      <c r="H16" s="114">
        <v>0</v>
      </c>
      <c r="I16" s="114">
        <v>0</v>
      </c>
      <c r="J16" s="268">
        <v>0</v>
      </c>
      <c r="K16" s="264">
        <f>F16+G16+H16+I16+J16</f>
        <v>1356000</v>
      </c>
    </row>
    <row r="17" spans="1:12" ht="15" customHeight="1" thickBot="1" x14ac:dyDescent="0.3">
      <c r="A17" s="605"/>
      <c r="B17" s="626"/>
      <c r="C17" s="626"/>
      <c r="D17" s="614"/>
      <c r="E17" s="373" t="s">
        <v>105</v>
      </c>
      <c r="F17" s="374">
        <f t="shared" ref="F17:K17" si="1">SUM(F15:F16)</f>
        <v>1967395</v>
      </c>
      <c r="G17" s="374">
        <f t="shared" si="1"/>
        <v>237415</v>
      </c>
      <c r="H17" s="374">
        <f t="shared" si="1"/>
        <v>648241</v>
      </c>
      <c r="I17" s="374">
        <f t="shared" si="1"/>
        <v>0</v>
      </c>
      <c r="J17" s="374">
        <f t="shared" si="1"/>
        <v>0</v>
      </c>
      <c r="K17" s="375">
        <f t="shared" si="1"/>
        <v>2853051</v>
      </c>
    </row>
    <row r="18" spans="1:12" ht="15" customHeight="1" x14ac:dyDescent="0.25">
      <c r="A18" s="603" t="s">
        <v>4</v>
      </c>
      <c r="B18" s="624" t="s">
        <v>293</v>
      </c>
      <c r="C18" s="624" t="s">
        <v>294</v>
      </c>
      <c r="D18" s="612">
        <v>0.95</v>
      </c>
      <c r="E18" s="89" t="s">
        <v>137</v>
      </c>
      <c r="F18" s="108">
        <f>400000+226203</f>
        <v>626203</v>
      </c>
      <c r="G18" s="108">
        <f>52000</f>
        <v>52000</v>
      </c>
      <c r="H18" s="108">
        <f>3366882-379476</f>
        <v>2987406</v>
      </c>
      <c r="I18" s="108">
        <v>8499737</v>
      </c>
      <c r="J18" s="115">
        <f>380000+153273</f>
        <v>533273</v>
      </c>
      <c r="K18" s="267">
        <f>F18+G18+H18+I18+J18</f>
        <v>12698619</v>
      </c>
    </row>
    <row r="19" spans="1:12" ht="15" customHeight="1" x14ac:dyDescent="0.25">
      <c r="A19" s="604"/>
      <c r="B19" s="625"/>
      <c r="C19" s="625"/>
      <c r="D19" s="613"/>
      <c r="E19" s="50" t="s">
        <v>138</v>
      </c>
      <c r="F19" s="119">
        <f>11626446-65000</f>
        <v>11561446</v>
      </c>
      <c r="G19" s="119">
        <f>1511438+65000</f>
        <v>1576438</v>
      </c>
      <c r="H19" s="119">
        <v>1450883</v>
      </c>
      <c r="I19" s="119">
        <v>0</v>
      </c>
      <c r="J19" s="268">
        <v>0</v>
      </c>
      <c r="K19" s="264">
        <f>F19+G19+H19+I19+J19</f>
        <v>14588767</v>
      </c>
    </row>
    <row r="20" spans="1:12" ht="15" customHeight="1" thickBot="1" x14ac:dyDescent="0.3">
      <c r="A20" s="605"/>
      <c r="B20" s="626"/>
      <c r="C20" s="626"/>
      <c r="D20" s="614"/>
      <c r="E20" s="373" t="s">
        <v>105</v>
      </c>
      <c r="F20" s="374">
        <f t="shared" ref="F20:K20" si="2">SUM(F18:F19)</f>
        <v>12187649</v>
      </c>
      <c r="G20" s="374">
        <f t="shared" si="2"/>
        <v>1628438</v>
      </c>
      <c r="H20" s="374">
        <f t="shared" si="2"/>
        <v>4438289</v>
      </c>
      <c r="I20" s="374">
        <f t="shared" si="2"/>
        <v>8499737</v>
      </c>
      <c r="J20" s="374">
        <f t="shared" si="2"/>
        <v>533273</v>
      </c>
      <c r="K20" s="375">
        <f t="shared" si="2"/>
        <v>27287386</v>
      </c>
    </row>
    <row r="21" spans="1:12" s="265" customFormat="1" ht="15" customHeight="1" x14ac:dyDescent="0.25">
      <c r="A21" s="603" t="s">
        <v>5</v>
      </c>
      <c r="B21" s="624" t="s">
        <v>295</v>
      </c>
      <c r="C21" s="624" t="s">
        <v>296</v>
      </c>
      <c r="D21" s="612">
        <v>0.95</v>
      </c>
      <c r="E21" s="266" t="s">
        <v>137</v>
      </c>
      <c r="F21" s="108">
        <f>400000+233282</f>
        <v>633282</v>
      </c>
      <c r="G21" s="108">
        <v>52000</v>
      </c>
      <c r="H21" s="108">
        <f>3751626-233282</f>
        <v>3518344</v>
      </c>
      <c r="I21" s="108">
        <v>8443021</v>
      </c>
      <c r="J21" s="115">
        <v>0</v>
      </c>
      <c r="K21" s="267">
        <f>F21+G21+H21+I21+J21</f>
        <v>12646647</v>
      </c>
    </row>
    <row r="22" spans="1:12" ht="15" customHeight="1" x14ac:dyDescent="0.25">
      <c r="A22" s="604"/>
      <c r="B22" s="625"/>
      <c r="C22" s="625"/>
      <c r="D22" s="613"/>
      <c r="E22" s="50" t="s">
        <v>138</v>
      </c>
      <c r="F22" s="114">
        <v>11807825</v>
      </c>
      <c r="G22" s="114">
        <v>1535017</v>
      </c>
      <c r="H22" s="114">
        <v>1481626</v>
      </c>
      <c r="I22" s="114">
        <v>0</v>
      </c>
      <c r="J22" s="268">
        <v>0</v>
      </c>
      <c r="K22" s="264">
        <f>F22+G22+H22+I22+J22</f>
        <v>14824468</v>
      </c>
    </row>
    <row r="23" spans="1:12" ht="15" customHeight="1" thickBot="1" x14ac:dyDescent="0.3">
      <c r="A23" s="605"/>
      <c r="B23" s="626"/>
      <c r="C23" s="626"/>
      <c r="D23" s="614"/>
      <c r="E23" s="373" t="s">
        <v>105</v>
      </c>
      <c r="F23" s="374">
        <f t="shared" ref="F23:K23" si="3">SUM(F21:F22)</f>
        <v>12441107</v>
      </c>
      <c r="G23" s="374">
        <f t="shared" si="3"/>
        <v>1587017</v>
      </c>
      <c r="H23" s="374">
        <f t="shared" si="3"/>
        <v>4999970</v>
      </c>
      <c r="I23" s="374">
        <f t="shared" si="3"/>
        <v>8443021</v>
      </c>
      <c r="J23" s="374">
        <f t="shared" si="3"/>
        <v>0</v>
      </c>
      <c r="K23" s="375">
        <f t="shared" si="3"/>
        <v>27471115</v>
      </c>
    </row>
    <row r="24" spans="1:12" ht="15" customHeight="1" x14ac:dyDescent="0.25">
      <c r="A24" s="603" t="s">
        <v>7</v>
      </c>
      <c r="B24" s="624" t="s">
        <v>297</v>
      </c>
      <c r="C24" s="624" t="s">
        <v>298</v>
      </c>
      <c r="D24" s="612">
        <v>0.95</v>
      </c>
      <c r="E24" s="89" t="s">
        <v>137</v>
      </c>
      <c r="F24" s="108">
        <f>400000+1000000</f>
        <v>1400000</v>
      </c>
      <c r="G24" s="108">
        <v>52000</v>
      </c>
      <c r="H24" s="108">
        <f>6345611-1000000</f>
        <v>5345611</v>
      </c>
      <c r="I24" s="108">
        <v>0</v>
      </c>
      <c r="J24" s="115">
        <v>0</v>
      </c>
      <c r="K24" s="267">
        <f>F24+G24+H24+I24+J24</f>
        <v>6797611</v>
      </c>
    </row>
    <row r="25" spans="1:12" ht="15" customHeight="1" x14ac:dyDescent="0.25">
      <c r="A25" s="604"/>
      <c r="B25" s="625"/>
      <c r="C25" s="625"/>
      <c r="D25" s="613"/>
      <c r="E25" s="50" t="s">
        <v>138</v>
      </c>
      <c r="F25" s="114">
        <v>10710388</v>
      </c>
      <c r="G25" s="114">
        <v>1392350</v>
      </c>
      <c r="H25" s="114">
        <v>1295611</v>
      </c>
      <c r="I25" s="114">
        <v>0</v>
      </c>
      <c r="J25" s="268">
        <v>0</v>
      </c>
      <c r="K25" s="264">
        <f>F25+G25+H25+I25+J25</f>
        <v>13398349</v>
      </c>
    </row>
    <row r="26" spans="1:12" ht="15" customHeight="1" thickBot="1" x14ac:dyDescent="0.3">
      <c r="A26" s="605"/>
      <c r="B26" s="626"/>
      <c r="C26" s="626"/>
      <c r="D26" s="614"/>
      <c r="E26" s="373" t="s">
        <v>105</v>
      </c>
      <c r="F26" s="374">
        <f t="shared" ref="F26:K26" si="4">SUM(F24:F25)</f>
        <v>12110388</v>
      </c>
      <c r="G26" s="374">
        <f t="shared" si="4"/>
        <v>1444350</v>
      </c>
      <c r="H26" s="374">
        <f t="shared" si="4"/>
        <v>6641222</v>
      </c>
      <c r="I26" s="374">
        <f t="shared" si="4"/>
        <v>0</v>
      </c>
      <c r="J26" s="374">
        <f t="shared" si="4"/>
        <v>0</v>
      </c>
      <c r="K26" s="375">
        <f t="shared" si="4"/>
        <v>20195960</v>
      </c>
    </row>
    <row r="27" spans="1:12" ht="15" customHeight="1" x14ac:dyDescent="0.25">
      <c r="A27" s="603" t="s">
        <v>27</v>
      </c>
      <c r="B27" s="624" t="s">
        <v>299</v>
      </c>
      <c r="C27" s="624" t="s">
        <v>300</v>
      </c>
      <c r="D27" s="612">
        <v>0.95</v>
      </c>
      <c r="E27" s="89" t="s">
        <v>137</v>
      </c>
      <c r="F27" s="108">
        <f>400000+513815</f>
        <v>913815</v>
      </c>
      <c r="G27" s="108">
        <v>52000</v>
      </c>
      <c r="H27" s="108">
        <f>6118577-513815</f>
        <v>5604762</v>
      </c>
      <c r="I27" s="108">
        <v>6988589</v>
      </c>
      <c r="J27" s="115">
        <v>0</v>
      </c>
      <c r="K27" s="267">
        <f>F27+G27+H27+I27+J27</f>
        <v>13559166</v>
      </c>
    </row>
    <row r="28" spans="1:12" ht="15" customHeight="1" x14ac:dyDescent="0.25">
      <c r="A28" s="604"/>
      <c r="B28" s="625"/>
      <c r="C28" s="625"/>
      <c r="D28" s="613"/>
      <c r="E28" s="50" t="s">
        <v>138</v>
      </c>
      <c r="F28" s="114">
        <f>8486001-60000</f>
        <v>8426001</v>
      </c>
      <c r="G28" s="114">
        <f>1103180+60000</f>
        <v>1163180</v>
      </c>
      <c r="H28" s="114">
        <v>918577</v>
      </c>
      <c r="I28" s="114">
        <v>0</v>
      </c>
      <c r="J28" s="268">
        <v>0</v>
      </c>
      <c r="K28" s="264">
        <f>F28+G28+H28+I28+J28</f>
        <v>10507758</v>
      </c>
      <c r="L28" s="66"/>
    </row>
    <row r="29" spans="1:12" ht="15" customHeight="1" thickBot="1" x14ac:dyDescent="0.3">
      <c r="A29" s="605"/>
      <c r="B29" s="626"/>
      <c r="C29" s="626"/>
      <c r="D29" s="614"/>
      <c r="E29" s="373" t="s">
        <v>105</v>
      </c>
      <c r="F29" s="374">
        <f t="shared" ref="F29:K29" si="5">SUM(F27:F28)</f>
        <v>9339816</v>
      </c>
      <c r="G29" s="374">
        <f t="shared" si="5"/>
        <v>1215180</v>
      </c>
      <c r="H29" s="374">
        <f t="shared" si="5"/>
        <v>6523339</v>
      </c>
      <c r="I29" s="374">
        <f t="shared" si="5"/>
        <v>6988589</v>
      </c>
      <c r="J29" s="374">
        <f t="shared" si="5"/>
        <v>0</v>
      </c>
      <c r="K29" s="375">
        <f t="shared" si="5"/>
        <v>24066924</v>
      </c>
    </row>
    <row r="30" spans="1:12" s="265" customFormat="1" ht="15" customHeight="1" x14ac:dyDescent="0.25">
      <c r="A30" s="603" t="s">
        <v>81</v>
      </c>
      <c r="B30" s="607" t="s">
        <v>301</v>
      </c>
      <c r="C30" s="625" t="s">
        <v>302</v>
      </c>
      <c r="D30" s="613">
        <v>0.95</v>
      </c>
      <c r="E30" s="118" t="s">
        <v>137</v>
      </c>
      <c r="F30" s="113">
        <v>400000</v>
      </c>
      <c r="G30" s="113">
        <v>52000</v>
      </c>
      <c r="H30" s="113">
        <v>7517473</v>
      </c>
      <c r="I30" s="113">
        <v>0</v>
      </c>
      <c r="J30" s="269">
        <v>1700000</v>
      </c>
      <c r="K30" s="264">
        <f>F30+G30+H30+I30+J30</f>
        <v>9669473</v>
      </c>
    </row>
    <row r="31" spans="1:12" ht="15" customHeight="1" x14ac:dyDescent="0.25">
      <c r="A31" s="604"/>
      <c r="B31" s="607"/>
      <c r="C31" s="625"/>
      <c r="D31" s="613"/>
      <c r="E31" s="50" t="s">
        <v>138</v>
      </c>
      <c r="F31" s="114">
        <v>11517832</v>
      </c>
      <c r="G31" s="114">
        <v>1497318</v>
      </c>
      <c r="H31" s="114">
        <v>553052</v>
      </c>
      <c r="I31" s="114">
        <v>0</v>
      </c>
      <c r="J31" s="268">
        <v>0</v>
      </c>
      <c r="K31" s="264">
        <f>F31+G31+H31+I31+J31</f>
        <v>13568202</v>
      </c>
    </row>
    <row r="32" spans="1:12" ht="15" customHeight="1" thickBot="1" x14ac:dyDescent="0.3">
      <c r="A32" s="605"/>
      <c r="B32" s="608"/>
      <c r="C32" s="626"/>
      <c r="D32" s="614"/>
      <c r="E32" s="373" t="s">
        <v>105</v>
      </c>
      <c r="F32" s="374">
        <f t="shared" ref="F32:K32" si="6">SUM(F30:F31)</f>
        <v>11917832</v>
      </c>
      <c r="G32" s="374">
        <f t="shared" si="6"/>
        <v>1549318</v>
      </c>
      <c r="H32" s="374">
        <f t="shared" si="6"/>
        <v>8070525</v>
      </c>
      <c r="I32" s="374">
        <f t="shared" si="6"/>
        <v>0</v>
      </c>
      <c r="J32" s="374">
        <f t="shared" si="6"/>
        <v>1700000</v>
      </c>
      <c r="K32" s="375">
        <f t="shared" si="6"/>
        <v>23237675</v>
      </c>
    </row>
    <row r="33" spans="1:11" s="265" customFormat="1" ht="15" customHeight="1" x14ac:dyDescent="0.25">
      <c r="A33" s="603" t="s">
        <v>82</v>
      </c>
      <c r="B33" s="607" t="s">
        <v>207</v>
      </c>
      <c r="C33" s="625">
        <v>101035163</v>
      </c>
      <c r="D33" s="613">
        <v>0.65</v>
      </c>
      <c r="E33" s="118" t="s">
        <v>137</v>
      </c>
      <c r="F33" s="113">
        <v>3000000</v>
      </c>
      <c r="G33" s="113">
        <v>800000</v>
      </c>
      <c r="H33" s="113">
        <f>5037213-1220000</f>
        <v>3817213</v>
      </c>
      <c r="I33" s="113">
        <v>0</v>
      </c>
      <c r="J33" s="269">
        <v>1000000</v>
      </c>
      <c r="K33" s="264">
        <f>F33+G33+H33+I33+J33</f>
        <v>8617213</v>
      </c>
    </row>
    <row r="34" spans="1:11" ht="15" customHeight="1" x14ac:dyDescent="0.25">
      <c r="A34" s="604"/>
      <c r="B34" s="607"/>
      <c r="C34" s="625"/>
      <c r="D34" s="613"/>
      <c r="E34" s="50" t="s">
        <v>138</v>
      </c>
      <c r="F34" s="114">
        <f>6993486+1050000</f>
        <v>8043486</v>
      </c>
      <c r="G34" s="114">
        <f>947653+170000</f>
        <v>1117653</v>
      </c>
      <c r="H34" s="114">
        <v>150000</v>
      </c>
      <c r="I34" s="114">
        <v>0</v>
      </c>
      <c r="J34" s="268">
        <v>0</v>
      </c>
      <c r="K34" s="264">
        <f>F34+G34+H34+I34+J34</f>
        <v>9311139</v>
      </c>
    </row>
    <row r="35" spans="1:11" ht="15" customHeight="1" thickBot="1" x14ac:dyDescent="0.3">
      <c r="A35" s="605"/>
      <c r="B35" s="608"/>
      <c r="C35" s="626"/>
      <c r="D35" s="614"/>
      <c r="E35" s="373" t="s">
        <v>105</v>
      </c>
      <c r="F35" s="374">
        <f t="shared" ref="F35:K35" si="7">SUM(F33:F34)</f>
        <v>11043486</v>
      </c>
      <c r="G35" s="374">
        <f t="shared" si="7"/>
        <v>1917653</v>
      </c>
      <c r="H35" s="374">
        <f t="shared" si="7"/>
        <v>3967213</v>
      </c>
      <c r="I35" s="374">
        <f t="shared" si="7"/>
        <v>0</v>
      </c>
      <c r="J35" s="374">
        <f t="shared" si="7"/>
        <v>1000000</v>
      </c>
      <c r="K35" s="375">
        <f t="shared" si="7"/>
        <v>17928352</v>
      </c>
    </row>
    <row r="36" spans="1:11" s="265" customFormat="1" ht="15" customHeight="1" x14ac:dyDescent="0.25">
      <c r="A36" s="603" t="s">
        <v>93</v>
      </c>
      <c r="B36" s="606" t="s">
        <v>226</v>
      </c>
      <c r="C36" s="624">
        <v>101074095</v>
      </c>
      <c r="D36" s="612">
        <v>0.9</v>
      </c>
      <c r="E36" s="266" t="s">
        <v>137</v>
      </c>
      <c r="F36" s="108">
        <v>1500000</v>
      </c>
      <c r="G36" s="108">
        <v>500000</v>
      </c>
      <c r="H36" s="108">
        <v>4067060</v>
      </c>
      <c r="I36" s="108"/>
      <c r="J36" s="115">
        <v>0</v>
      </c>
      <c r="K36" s="267">
        <f>F36+G36+H36+I36+J36</f>
        <v>6067060</v>
      </c>
    </row>
    <row r="37" spans="1:11" ht="15" customHeight="1" x14ac:dyDescent="0.25">
      <c r="A37" s="604"/>
      <c r="B37" s="607"/>
      <c r="C37" s="625"/>
      <c r="D37" s="613"/>
      <c r="E37" s="50" t="s">
        <v>138</v>
      </c>
      <c r="F37" s="114">
        <v>3185326</v>
      </c>
      <c r="G37" s="114">
        <v>437697</v>
      </c>
      <c r="H37" s="114">
        <v>400000</v>
      </c>
      <c r="I37" s="114">
        <v>0</v>
      </c>
      <c r="J37" s="268">
        <v>0</v>
      </c>
      <c r="K37" s="264">
        <f>F37+G37+H37+I37+J37</f>
        <v>4023023</v>
      </c>
    </row>
    <row r="38" spans="1:11" ht="15" customHeight="1" thickBot="1" x14ac:dyDescent="0.3">
      <c r="A38" s="604"/>
      <c r="B38" s="607"/>
      <c r="C38" s="625"/>
      <c r="D38" s="613"/>
      <c r="E38" s="447" t="s">
        <v>105</v>
      </c>
      <c r="F38" s="376">
        <f t="shared" ref="F38:K38" si="8">SUM(F36:F37)</f>
        <v>4685326</v>
      </c>
      <c r="G38" s="376">
        <f t="shared" si="8"/>
        <v>937697</v>
      </c>
      <c r="H38" s="376">
        <f t="shared" si="8"/>
        <v>4467060</v>
      </c>
      <c r="I38" s="376">
        <f t="shared" si="8"/>
        <v>0</v>
      </c>
      <c r="J38" s="376">
        <f t="shared" si="8"/>
        <v>0</v>
      </c>
      <c r="K38" s="377">
        <f t="shared" si="8"/>
        <v>10090083</v>
      </c>
    </row>
    <row r="39" spans="1:11" ht="15" customHeight="1" x14ac:dyDescent="0.25">
      <c r="A39" s="603" t="s">
        <v>128</v>
      </c>
      <c r="B39" s="606" t="s">
        <v>111</v>
      </c>
      <c r="C39" s="621" t="s">
        <v>151</v>
      </c>
      <c r="D39" s="612">
        <v>1</v>
      </c>
      <c r="E39" s="89" t="s">
        <v>137</v>
      </c>
      <c r="F39" s="108">
        <v>0</v>
      </c>
      <c r="G39" s="108">
        <v>0</v>
      </c>
      <c r="H39" s="108">
        <v>0</v>
      </c>
      <c r="I39" s="108">
        <v>0</v>
      </c>
      <c r="J39" s="115">
        <v>0</v>
      </c>
      <c r="K39" s="267">
        <f>F39+G39+H39+I39+J39</f>
        <v>0</v>
      </c>
    </row>
    <row r="40" spans="1:11" ht="15" customHeight="1" x14ac:dyDescent="0.25">
      <c r="A40" s="604"/>
      <c r="B40" s="607"/>
      <c r="C40" s="622"/>
      <c r="D40" s="613"/>
      <c r="E40" s="50" t="s">
        <v>138</v>
      </c>
      <c r="F40" s="119">
        <v>16043872</v>
      </c>
      <c r="G40" s="119">
        <v>2259151</v>
      </c>
      <c r="H40" s="119">
        <v>4200000</v>
      </c>
      <c r="I40" s="119">
        <v>0</v>
      </c>
      <c r="J40" s="268">
        <v>0</v>
      </c>
      <c r="K40" s="264">
        <f>F40+G40+H40+I40+J40</f>
        <v>22503023</v>
      </c>
    </row>
    <row r="41" spans="1:11" ht="15" customHeight="1" thickBot="1" x14ac:dyDescent="0.3">
      <c r="A41" s="605"/>
      <c r="B41" s="608"/>
      <c r="C41" s="623"/>
      <c r="D41" s="614"/>
      <c r="E41" s="373" t="s">
        <v>105</v>
      </c>
      <c r="F41" s="374">
        <f t="shared" ref="F41:K41" si="9">SUM(F39:F40)</f>
        <v>16043872</v>
      </c>
      <c r="G41" s="374">
        <f t="shared" si="9"/>
        <v>2259151</v>
      </c>
      <c r="H41" s="374">
        <f t="shared" si="9"/>
        <v>4200000</v>
      </c>
      <c r="I41" s="374">
        <f t="shared" si="9"/>
        <v>0</v>
      </c>
      <c r="J41" s="374">
        <f t="shared" si="9"/>
        <v>0</v>
      </c>
      <c r="K41" s="375">
        <f t="shared" si="9"/>
        <v>22503023</v>
      </c>
    </row>
    <row r="42" spans="1:11" ht="15" customHeight="1" x14ac:dyDescent="0.25">
      <c r="A42" s="603" t="s">
        <v>129</v>
      </c>
      <c r="B42" s="606" t="s">
        <v>145</v>
      </c>
      <c r="C42" s="609" t="s">
        <v>152</v>
      </c>
      <c r="D42" s="612">
        <v>1</v>
      </c>
      <c r="E42" s="89" t="s">
        <v>137</v>
      </c>
      <c r="F42" s="108">
        <f>350000+200000+300000</f>
        <v>850000</v>
      </c>
      <c r="G42" s="108">
        <f>45500+26000</f>
        <v>71500</v>
      </c>
      <c r="H42" s="108">
        <f>20945543-2190750-226000-3923689-540315</f>
        <v>14064789</v>
      </c>
      <c r="I42" s="108">
        <v>0</v>
      </c>
      <c r="J42" s="115">
        <f>15995670+2190750+240315</f>
        <v>18426735</v>
      </c>
      <c r="K42" s="267">
        <f>F42+G42+H42+I42+J42</f>
        <v>33413024</v>
      </c>
    </row>
    <row r="43" spans="1:11" ht="15" customHeight="1" x14ac:dyDescent="0.25">
      <c r="A43" s="604"/>
      <c r="B43" s="607"/>
      <c r="C43" s="610"/>
      <c r="D43" s="613"/>
      <c r="E43" s="50" t="s">
        <v>138</v>
      </c>
      <c r="F43" s="119">
        <f>3526667+3445226</f>
        <v>6971893</v>
      </c>
      <c r="G43" s="119">
        <f>458467+478463</f>
        <v>936930</v>
      </c>
      <c r="H43" s="119">
        <v>0</v>
      </c>
      <c r="I43" s="119">
        <v>0</v>
      </c>
      <c r="J43" s="268">
        <v>0</v>
      </c>
      <c r="K43" s="264">
        <f>F43+G43+H43+I43+J43</f>
        <v>7908823</v>
      </c>
    </row>
    <row r="44" spans="1:11" ht="15" customHeight="1" thickBot="1" x14ac:dyDescent="0.3">
      <c r="A44" s="605"/>
      <c r="B44" s="608"/>
      <c r="C44" s="611"/>
      <c r="D44" s="614"/>
      <c r="E44" s="373" t="s">
        <v>105</v>
      </c>
      <c r="F44" s="374">
        <f t="shared" ref="F44:K44" si="10">SUM(F42:F43)</f>
        <v>7821893</v>
      </c>
      <c r="G44" s="374">
        <f t="shared" si="10"/>
        <v>1008430</v>
      </c>
      <c r="H44" s="374">
        <f t="shared" si="10"/>
        <v>14064789</v>
      </c>
      <c r="I44" s="374">
        <f t="shared" si="10"/>
        <v>0</v>
      </c>
      <c r="J44" s="374">
        <f t="shared" si="10"/>
        <v>18426735</v>
      </c>
      <c r="K44" s="375">
        <f t="shared" si="10"/>
        <v>41321847</v>
      </c>
    </row>
    <row r="45" spans="1:11" ht="15" customHeight="1" x14ac:dyDescent="0.25">
      <c r="A45" s="603" t="s">
        <v>133</v>
      </c>
      <c r="B45" s="620" t="s">
        <v>166</v>
      </c>
      <c r="C45" s="621" t="s">
        <v>167</v>
      </c>
      <c r="D45" s="612">
        <v>1</v>
      </c>
      <c r="E45" s="89" t="s">
        <v>137</v>
      </c>
      <c r="F45" s="108">
        <f>35688697+30000000+100000000+40000000</f>
        <v>205688697</v>
      </c>
      <c r="G45" s="108">
        <v>2500000</v>
      </c>
      <c r="H45" s="108">
        <f>451257707-30000000-106539068-40000000-5700000</f>
        <v>269018639</v>
      </c>
      <c r="I45" s="108">
        <v>0</v>
      </c>
      <c r="J45" s="115">
        <v>52042084</v>
      </c>
      <c r="K45" s="267">
        <f>F45+G45+H45+I45+J45</f>
        <v>529249420</v>
      </c>
    </row>
    <row r="46" spans="1:11" ht="15" customHeight="1" x14ac:dyDescent="0.25">
      <c r="A46" s="604"/>
      <c r="B46" s="618"/>
      <c r="C46" s="622"/>
      <c r="D46" s="613"/>
      <c r="E46" s="50" t="s">
        <v>138</v>
      </c>
      <c r="F46" s="119">
        <f>68216014+5608850+5000000</f>
        <v>78824864</v>
      </c>
      <c r="G46" s="119">
        <f>9161331+930218+300000+700000</f>
        <v>11091549</v>
      </c>
      <c r="H46" s="119">
        <f>1500000-300000</f>
        <v>1200000</v>
      </c>
      <c r="I46" s="119">
        <v>0</v>
      </c>
      <c r="J46" s="268">
        <v>0</v>
      </c>
      <c r="K46" s="264">
        <f>F46+G46+H46+I46+J46</f>
        <v>91116413</v>
      </c>
    </row>
    <row r="47" spans="1:11" ht="15" customHeight="1" thickBot="1" x14ac:dyDescent="0.3">
      <c r="A47" s="605"/>
      <c r="B47" s="619"/>
      <c r="C47" s="623"/>
      <c r="D47" s="614"/>
      <c r="E47" s="373" t="s">
        <v>105</v>
      </c>
      <c r="F47" s="374">
        <f t="shared" ref="F47:K47" si="11">SUM(F45:F46)</f>
        <v>284513561</v>
      </c>
      <c r="G47" s="374">
        <f t="shared" si="11"/>
        <v>13591549</v>
      </c>
      <c r="H47" s="374">
        <f t="shared" si="11"/>
        <v>270218639</v>
      </c>
      <c r="I47" s="374">
        <f t="shared" si="11"/>
        <v>0</v>
      </c>
      <c r="J47" s="374">
        <f t="shared" si="11"/>
        <v>52042084</v>
      </c>
      <c r="K47" s="375">
        <f t="shared" si="11"/>
        <v>620365833</v>
      </c>
    </row>
    <row r="48" spans="1:11" ht="15" customHeight="1" x14ac:dyDescent="0.25">
      <c r="A48" s="603" t="s">
        <v>149</v>
      </c>
      <c r="B48" s="620" t="s">
        <v>208</v>
      </c>
      <c r="C48" s="621" t="s">
        <v>209</v>
      </c>
      <c r="D48" s="612">
        <v>1</v>
      </c>
      <c r="E48" s="89" t="s">
        <v>137</v>
      </c>
      <c r="F48" s="108">
        <v>200000</v>
      </c>
      <c r="G48" s="108">
        <v>0</v>
      </c>
      <c r="H48" s="108">
        <f>12375523-423750-1385488</f>
        <v>10566285</v>
      </c>
      <c r="I48" s="108">
        <v>0</v>
      </c>
      <c r="J48" s="115">
        <f>63142150+423750</f>
        <v>63565900</v>
      </c>
      <c r="K48" s="267">
        <f>F48+G48+H48+I48+J48</f>
        <v>74332185</v>
      </c>
    </row>
    <row r="49" spans="1:11" ht="15" customHeight="1" x14ac:dyDescent="0.25">
      <c r="A49" s="604"/>
      <c r="B49" s="618"/>
      <c r="C49" s="622"/>
      <c r="D49" s="613"/>
      <c r="E49" s="50" t="s">
        <v>138</v>
      </c>
      <c r="F49" s="119">
        <f>4150000+2296467-10000</f>
        <v>6436467</v>
      </c>
      <c r="G49" s="119">
        <f>539500+361021</f>
        <v>900521</v>
      </c>
      <c r="H49" s="119">
        <f>3000000-3000000</f>
        <v>0</v>
      </c>
      <c r="I49" s="119">
        <v>0</v>
      </c>
      <c r="J49" s="268">
        <f>1728000+10000</f>
        <v>1738000</v>
      </c>
      <c r="K49" s="264">
        <f>F49+G49+H49+I49+J49</f>
        <v>9074988</v>
      </c>
    </row>
    <row r="50" spans="1:11" ht="15" customHeight="1" thickBot="1" x14ac:dyDescent="0.3">
      <c r="A50" s="605"/>
      <c r="B50" s="619"/>
      <c r="C50" s="623"/>
      <c r="D50" s="614"/>
      <c r="E50" s="373" t="s">
        <v>105</v>
      </c>
      <c r="F50" s="374">
        <f t="shared" ref="F50:K50" si="12">SUM(F48:F49)</f>
        <v>6636467</v>
      </c>
      <c r="G50" s="374">
        <f t="shared" si="12"/>
        <v>900521</v>
      </c>
      <c r="H50" s="374">
        <f t="shared" si="12"/>
        <v>10566285</v>
      </c>
      <c r="I50" s="374">
        <f t="shared" si="12"/>
        <v>0</v>
      </c>
      <c r="J50" s="374">
        <f t="shared" si="12"/>
        <v>65303900</v>
      </c>
      <c r="K50" s="375">
        <f t="shared" si="12"/>
        <v>83407173</v>
      </c>
    </row>
    <row r="51" spans="1:11" ht="15" customHeight="1" x14ac:dyDescent="0.25">
      <c r="A51" s="603" t="s">
        <v>153</v>
      </c>
      <c r="B51" s="606" t="s">
        <v>227</v>
      </c>
      <c r="C51" s="615" t="s">
        <v>228</v>
      </c>
      <c r="D51" s="612">
        <v>1</v>
      </c>
      <c r="E51" s="89" t="s">
        <v>137</v>
      </c>
      <c r="F51" s="108">
        <v>6803150</v>
      </c>
      <c r="G51" s="108">
        <v>260000</v>
      </c>
      <c r="H51" s="108">
        <f>57354199</f>
        <v>57354199</v>
      </c>
      <c r="I51" s="108">
        <v>30000000</v>
      </c>
      <c r="J51" s="115">
        <v>27483222</v>
      </c>
      <c r="K51" s="267">
        <f>F51+G51+H51+I51+J51</f>
        <v>121900571</v>
      </c>
    </row>
    <row r="52" spans="1:11" ht="15" customHeight="1" x14ac:dyDescent="0.25">
      <c r="A52" s="604"/>
      <c r="B52" s="607"/>
      <c r="C52" s="616"/>
      <c r="D52" s="613"/>
      <c r="E52" s="50" t="s">
        <v>138</v>
      </c>
      <c r="F52" s="119">
        <v>9097333</v>
      </c>
      <c r="G52" s="119">
        <v>1202653</v>
      </c>
      <c r="H52" s="119">
        <v>600000</v>
      </c>
      <c r="I52" s="119">
        <v>0</v>
      </c>
      <c r="J52" s="268">
        <v>0</v>
      </c>
      <c r="K52" s="264">
        <f>F52+G52+H52+I52+J52</f>
        <v>10899986</v>
      </c>
    </row>
    <row r="53" spans="1:11" ht="15" customHeight="1" thickBot="1" x14ac:dyDescent="0.3">
      <c r="A53" s="605"/>
      <c r="B53" s="608"/>
      <c r="C53" s="617"/>
      <c r="D53" s="614"/>
      <c r="E53" s="373" t="s">
        <v>105</v>
      </c>
      <c r="F53" s="374">
        <f t="shared" ref="F53:K53" si="13">SUM(F51:F52)</f>
        <v>15900483</v>
      </c>
      <c r="G53" s="374">
        <f t="shared" si="13"/>
        <v>1462653</v>
      </c>
      <c r="H53" s="374">
        <f t="shared" si="13"/>
        <v>57954199</v>
      </c>
      <c r="I53" s="374">
        <f t="shared" si="13"/>
        <v>30000000</v>
      </c>
      <c r="J53" s="374">
        <f t="shared" si="13"/>
        <v>27483222</v>
      </c>
      <c r="K53" s="375">
        <f t="shared" si="13"/>
        <v>132800557</v>
      </c>
    </row>
    <row r="54" spans="1:11" ht="15" customHeight="1" x14ac:dyDescent="0.25">
      <c r="A54" s="603" t="s">
        <v>154</v>
      </c>
      <c r="B54" s="606" t="s">
        <v>229</v>
      </c>
      <c r="C54" s="615" t="s">
        <v>230</v>
      </c>
      <c r="D54" s="612">
        <v>1</v>
      </c>
      <c r="E54" s="89" t="s">
        <v>137</v>
      </c>
      <c r="F54" s="108">
        <f>1000000+6000000+10000000+1841140</f>
        <v>18841140</v>
      </c>
      <c r="G54" s="108">
        <v>250000</v>
      </c>
      <c r="H54" s="108">
        <f>36073888-6000000-10000000-8706083-2400000-2634870</f>
        <v>6332935</v>
      </c>
      <c r="I54" s="108">
        <v>0</v>
      </c>
      <c r="J54" s="115">
        <f>26230600+793730</f>
        <v>27024330</v>
      </c>
      <c r="K54" s="267">
        <f>F54+G54+H54+I54+J54</f>
        <v>52448405</v>
      </c>
    </row>
    <row r="55" spans="1:11" ht="15" customHeight="1" x14ac:dyDescent="0.25">
      <c r="A55" s="604"/>
      <c r="B55" s="607"/>
      <c r="C55" s="616"/>
      <c r="D55" s="613"/>
      <c r="E55" s="50" t="s">
        <v>138</v>
      </c>
      <c r="F55" s="119">
        <f>9598588+7683638+2000000</f>
        <v>19282226</v>
      </c>
      <c r="G55" s="119">
        <f>1343817+1022445+400000</f>
        <v>2766262</v>
      </c>
      <c r="H55" s="119">
        <v>500000</v>
      </c>
      <c r="I55" s="119">
        <v>0</v>
      </c>
      <c r="J55" s="268">
        <v>0</v>
      </c>
      <c r="K55" s="264">
        <f>F55+G55+H55+I55+J55</f>
        <v>22548488</v>
      </c>
    </row>
    <row r="56" spans="1:11" ht="15" customHeight="1" thickBot="1" x14ac:dyDescent="0.3">
      <c r="A56" s="605"/>
      <c r="B56" s="608"/>
      <c r="C56" s="617"/>
      <c r="D56" s="614"/>
      <c r="E56" s="373" t="s">
        <v>105</v>
      </c>
      <c r="F56" s="374">
        <f t="shared" ref="F56:K56" si="14">SUM(F54:F55)</f>
        <v>38123366</v>
      </c>
      <c r="G56" s="374">
        <f t="shared" si="14"/>
        <v>3016262</v>
      </c>
      <c r="H56" s="374">
        <f t="shared" si="14"/>
        <v>6832935</v>
      </c>
      <c r="I56" s="374">
        <f t="shared" si="14"/>
        <v>0</v>
      </c>
      <c r="J56" s="374">
        <f t="shared" si="14"/>
        <v>27024330</v>
      </c>
      <c r="K56" s="375">
        <f t="shared" si="14"/>
        <v>74996893</v>
      </c>
    </row>
    <row r="57" spans="1:11" ht="15" customHeight="1" x14ac:dyDescent="0.25">
      <c r="A57" s="604" t="s">
        <v>155</v>
      </c>
      <c r="B57" s="618" t="s">
        <v>173</v>
      </c>
      <c r="C57" s="610" t="s">
        <v>174</v>
      </c>
      <c r="D57" s="613">
        <v>1</v>
      </c>
      <c r="E57" s="55" t="s">
        <v>137</v>
      </c>
      <c r="F57" s="113">
        <v>0</v>
      </c>
      <c r="G57" s="113">
        <v>0</v>
      </c>
      <c r="H57" s="113">
        <v>0</v>
      </c>
      <c r="I57" s="113">
        <f>116794+75201</f>
        <v>191995</v>
      </c>
      <c r="J57" s="269">
        <v>0</v>
      </c>
      <c r="K57" s="264">
        <f>F57+G57+H57+I57+J57</f>
        <v>191995</v>
      </c>
    </row>
    <row r="58" spans="1:11" ht="15" customHeight="1" x14ac:dyDescent="0.25">
      <c r="A58" s="604"/>
      <c r="B58" s="618"/>
      <c r="C58" s="610"/>
      <c r="D58" s="613"/>
      <c r="E58" s="50" t="s">
        <v>138</v>
      </c>
      <c r="F58" s="119">
        <v>88355</v>
      </c>
      <c r="G58" s="119">
        <v>11486</v>
      </c>
      <c r="H58" s="119">
        <v>0</v>
      </c>
      <c r="I58" s="119">
        <v>0</v>
      </c>
      <c r="J58" s="268">
        <v>0</v>
      </c>
      <c r="K58" s="264">
        <f>F58+G58+H58+I58+J58</f>
        <v>99841</v>
      </c>
    </row>
    <row r="59" spans="1:11" ht="15" customHeight="1" thickBot="1" x14ac:dyDescent="0.3">
      <c r="A59" s="605"/>
      <c r="B59" s="619"/>
      <c r="C59" s="611"/>
      <c r="D59" s="614"/>
      <c r="E59" s="373" t="s">
        <v>105</v>
      </c>
      <c r="F59" s="374">
        <f t="shared" ref="F59:K59" si="15">SUM(F57:F58)</f>
        <v>88355</v>
      </c>
      <c r="G59" s="374">
        <f t="shared" si="15"/>
        <v>11486</v>
      </c>
      <c r="H59" s="374">
        <f t="shared" si="15"/>
        <v>0</v>
      </c>
      <c r="I59" s="374">
        <f t="shared" si="15"/>
        <v>191995</v>
      </c>
      <c r="J59" s="374">
        <f t="shared" si="15"/>
        <v>0</v>
      </c>
      <c r="K59" s="375">
        <f t="shared" si="15"/>
        <v>291836</v>
      </c>
    </row>
    <row r="60" spans="1:11" ht="15" customHeight="1" x14ac:dyDescent="0.25">
      <c r="A60" s="603" t="s">
        <v>156</v>
      </c>
      <c r="B60" s="606" t="s">
        <v>176</v>
      </c>
      <c r="C60" s="609" t="s">
        <v>177</v>
      </c>
      <c r="D60" s="612">
        <v>1</v>
      </c>
      <c r="E60" s="89" t="s">
        <v>137</v>
      </c>
      <c r="F60" s="108">
        <v>0</v>
      </c>
      <c r="G60" s="108">
        <v>0</v>
      </c>
      <c r="H60" s="108">
        <v>0</v>
      </c>
      <c r="I60" s="108">
        <v>19099</v>
      </c>
      <c r="J60" s="115">
        <v>0</v>
      </c>
      <c r="K60" s="267">
        <f>F60+G60+H60+I60+J60</f>
        <v>19099</v>
      </c>
    </row>
    <row r="61" spans="1:11" ht="15" customHeight="1" x14ac:dyDescent="0.25">
      <c r="A61" s="604"/>
      <c r="B61" s="607"/>
      <c r="C61" s="610"/>
      <c r="D61" s="613"/>
      <c r="E61" s="50" t="s">
        <v>138</v>
      </c>
      <c r="F61" s="119">
        <v>217799</v>
      </c>
      <c r="G61" s="119">
        <v>28313</v>
      </c>
      <c r="H61" s="119">
        <v>0</v>
      </c>
      <c r="I61" s="119">
        <v>0</v>
      </c>
      <c r="J61" s="268">
        <v>0</v>
      </c>
      <c r="K61" s="264">
        <f>F61+G61+H61+I61+J61</f>
        <v>246112</v>
      </c>
    </row>
    <row r="62" spans="1:11" ht="15" customHeight="1" thickBot="1" x14ac:dyDescent="0.3">
      <c r="A62" s="605"/>
      <c r="B62" s="608"/>
      <c r="C62" s="611"/>
      <c r="D62" s="614"/>
      <c r="E62" s="373" t="s">
        <v>105</v>
      </c>
      <c r="F62" s="374">
        <f t="shared" ref="F62:K62" si="16">SUM(F60:F61)</f>
        <v>217799</v>
      </c>
      <c r="G62" s="374">
        <f t="shared" si="16"/>
        <v>28313</v>
      </c>
      <c r="H62" s="374">
        <f t="shared" si="16"/>
        <v>0</v>
      </c>
      <c r="I62" s="374">
        <f t="shared" si="16"/>
        <v>19099</v>
      </c>
      <c r="J62" s="374">
        <f t="shared" si="16"/>
        <v>0</v>
      </c>
      <c r="K62" s="375">
        <f t="shared" si="16"/>
        <v>265211</v>
      </c>
    </row>
    <row r="63" spans="1:11" ht="15" customHeight="1" x14ac:dyDescent="0.25">
      <c r="A63" s="603" t="s">
        <v>157</v>
      </c>
      <c r="B63" s="606" t="s">
        <v>179</v>
      </c>
      <c r="C63" s="609" t="s">
        <v>180</v>
      </c>
      <c r="D63" s="612">
        <v>1</v>
      </c>
      <c r="E63" s="89" t="s">
        <v>137</v>
      </c>
      <c r="F63" s="108">
        <v>0</v>
      </c>
      <c r="G63" s="108">
        <v>0</v>
      </c>
      <c r="H63" s="108">
        <v>0</v>
      </c>
      <c r="I63" s="108">
        <v>0</v>
      </c>
      <c r="J63" s="115">
        <v>0</v>
      </c>
      <c r="K63" s="267">
        <f>F63+G63+H63+I63+J63</f>
        <v>0</v>
      </c>
    </row>
    <row r="64" spans="1:11" ht="15" customHeight="1" x14ac:dyDescent="0.25">
      <c r="A64" s="604"/>
      <c r="B64" s="607"/>
      <c r="C64" s="610"/>
      <c r="D64" s="613"/>
      <c r="E64" s="50" t="s">
        <v>138</v>
      </c>
      <c r="F64" s="119">
        <v>89707</v>
      </c>
      <c r="G64" s="119">
        <v>11662</v>
      </c>
      <c r="H64" s="119">
        <v>0</v>
      </c>
      <c r="I64" s="119">
        <v>0</v>
      </c>
      <c r="J64" s="268">
        <v>0</v>
      </c>
      <c r="K64" s="264">
        <f>F64+G64+H64+I64+J64</f>
        <v>101369</v>
      </c>
    </row>
    <row r="65" spans="1:11" ht="15" customHeight="1" thickBot="1" x14ac:dyDescent="0.3">
      <c r="A65" s="605"/>
      <c r="B65" s="608"/>
      <c r="C65" s="611"/>
      <c r="D65" s="614"/>
      <c r="E65" s="373" t="s">
        <v>105</v>
      </c>
      <c r="F65" s="374">
        <f t="shared" ref="F65:K65" si="17">SUM(F63:F64)</f>
        <v>89707</v>
      </c>
      <c r="G65" s="374">
        <f t="shared" si="17"/>
        <v>11662</v>
      </c>
      <c r="H65" s="374">
        <f t="shared" si="17"/>
        <v>0</v>
      </c>
      <c r="I65" s="374">
        <f t="shared" si="17"/>
        <v>0</v>
      </c>
      <c r="J65" s="374">
        <f t="shared" si="17"/>
        <v>0</v>
      </c>
      <c r="K65" s="375">
        <f t="shared" si="17"/>
        <v>101369</v>
      </c>
    </row>
    <row r="66" spans="1:11" ht="15" customHeight="1" x14ac:dyDescent="0.25">
      <c r="A66" s="603" t="s">
        <v>168</v>
      </c>
      <c r="B66" s="607" t="s">
        <v>181</v>
      </c>
      <c r="C66" s="610" t="s">
        <v>182</v>
      </c>
      <c r="D66" s="613">
        <v>1</v>
      </c>
      <c r="E66" s="89" t="s">
        <v>137</v>
      </c>
      <c r="F66" s="108">
        <v>0</v>
      </c>
      <c r="G66" s="108">
        <v>0</v>
      </c>
      <c r="H66" s="108">
        <v>0</v>
      </c>
      <c r="I66" s="108">
        <f>847500+97348</f>
        <v>944848</v>
      </c>
      <c r="J66" s="115">
        <v>0</v>
      </c>
      <c r="K66" s="264">
        <f>F66+G66+H66+I66+J66</f>
        <v>944848</v>
      </c>
    </row>
    <row r="67" spans="1:11" ht="15" customHeight="1" x14ac:dyDescent="0.25">
      <c r="A67" s="604"/>
      <c r="B67" s="607"/>
      <c r="C67" s="610"/>
      <c r="D67" s="613"/>
      <c r="E67" s="50" t="s">
        <v>138</v>
      </c>
      <c r="F67" s="119">
        <v>107198</v>
      </c>
      <c r="G67" s="119">
        <v>13935</v>
      </c>
      <c r="H67" s="119">
        <v>0</v>
      </c>
      <c r="I67" s="119">
        <v>0</v>
      </c>
      <c r="J67" s="268">
        <v>0</v>
      </c>
      <c r="K67" s="264">
        <f>F67+G67+H67+I67+J67</f>
        <v>121133</v>
      </c>
    </row>
    <row r="68" spans="1:11" ht="15" customHeight="1" thickBot="1" x14ac:dyDescent="0.3">
      <c r="A68" s="604"/>
      <c r="B68" s="607"/>
      <c r="C68" s="610"/>
      <c r="D68" s="613"/>
      <c r="E68" s="447" t="s">
        <v>105</v>
      </c>
      <c r="F68" s="376">
        <f t="shared" ref="F68:K68" si="18">SUM(F66:F67)</f>
        <v>107198</v>
      </c>
      <c r="G68" s="376">
        <f t="shared" si="18"/>
        <v>13935</v>
      </c>
      <c r="H68" s="376">
        <f t="shared" si="18"/>
        <v>0</v>
      </c>
      <c r="I68" s="376">
        <f t="shared" si="18"/>
        <v>944848</v>
      </c>
      <c r="J68" s="376">
        <f t="shared" si="18"/>
        <v>0</v>
      </c>
      <c r="K68" s="377">
        <f t="shared" si="18"/>
        <v>1065981</v>
      </c>
    </row>
    <row r="69" spans="1:11" ht="15" customHeight="1" x14ac:dyDescent="0.25">
      <c r="A69" s="603" t="s">
        <v>169</v>
      </c>
      <c r="B69" s="606" t="s">
        <v>183</v>
      </c>
      <c r="C69" s="609" t="s">
        <v>184</v>
      </c>
      <c r="D69" s="612">
        <v>1</v>
      </c>
      <c r="E69" s="89" t="s">
        <v>137</v>
      </c>
      <c r="F69" s="108">
        <v>0</v>
      </c>
      <c r="G69" s="108">
        <v>0</v>
      </c>
      <c r="H69" s="108">
        <v>0</v>
      </c>
      <c r="I69" s="108">
        <f>360103+175200</f>
        <v>535303</v>
      </c>
      <c r="J69" s="115">
        <v>0</v>
      </c>
      <c r="K69" s="267">
        <f>F69+G69+H69+I69+J69</f>
        <v>535303</v>
      </c>
    </row>
    <row r="70" spans="1:11" ht="15" customHeight="1" x14ac:dyDescent="0.25">
      <c r="A70" s="604"/>
      <c r="B70" s="607"/>
      <c r="C70" s="610"/>
      <c r="D70" s="613"/>
      <c r="E70" s="50" t="s">
        <v>138</v>
      </c>
      <c r="F70" s="119">
        <v>129710</v>
      </c>
      <c r="G70" s="119">
        <v>16863</v>
      </c>
      <c r="H70" s="119">
        <v>0</v>
      </c>
      <c r="I70" s="119">
        <v>0</v>
      </c>
      <c r="J70" s="268">
        <v>0</v>
      </c>
      <c r="K70" s="264">
        <f>F70+G70+H70+I70+J70</f>
        <v>146573</v>
      </c>
    </row>
    <row r="71" spans="1:11" ht="15" customHeight="1" thickBot="1" x14ac:dyDescent="0.3">
      <c r="A71" s="605"/>
      <c r="B71" s="608"/>
      <c r="C71" s="611"/>
      <c r="D71" s="614"/>
      <c r="E71" s="373" t="s">
        <v>105</v>
      </c>
      <c r="F71" s="374">
        <f t="shared" ref="F71:K71" si="19">SUM(F69:F70)</f>
        <v>129710</v>
      </c>
      <c r="G71" s="374">
        <f t="shared" si="19"/>
        <v>16863</v>
      </c>
      <c r="H71" s="374">
        <f t="shared" si="19"/>
        <v>0</v>
      </c>
      <c r="I71" s="374">
        <f t="shared" si="19"/>
        <v>535303</v>
      </c>
      <c r="J71" s="374">
        <f t="shared" si="19"/>
        <v>0</v>
      </c>
      <c r="K71" s="375">
        <f t="shared" si="19"/>
        <v>681876</v>
      </c>
    </row>
    <row r="72" spans="1:11" ht="15" customHeight="1" x14ac:dyDescent="0.25">
      <c r="A72" s="603" t="s">
        <v>170</v>
      </c>
      <c r="B72" s="606" t="s">
        <v>186</v>
      </c>
      <c r="C72" s="609" t="s">
        <v>187</v>
      </c>
      <c r="D72" s="612">
        <v>1</v>
      </c>
      <c r="E72" s="89" t="s">
        <v>137</v>
      </c>
      <c r="F72" s="108">
        <v>0</v>
      </c>
      <c r="G72" s="108">
        <v>0</v>
      </c>
      <c r="H72" s="108">
        <v>0</v>
      </c>
      <c r="I72" s="108">
        <f>20855+75200</f>
        <v>96055</v>
      </c>
      <c r="J72" s="115">
        <v>0</v>
      </c>
      <c r="K72" s="267">
        <f>F72+G72+H72+I72+J72</f>
        <v>96055</v>
      </c>
    </row>
    <row r="73" spans="1:11" ht="15" customHeight="1" x14ac:dyDescent="0.25">
      <c r="A73" s="604"/>
      <c r="B73" s="607"/>
      <c r="C73" s="610"/>
      <c r="D73" s="613"/>
      <c r="E73" s="50" t="s">
        <v>138</v>
      </c>
      <c r="F73" s="119">
        <v>196425</v>
      </c>
      <c r="G73" s="119">
        <v>25536</v>
      </c>
      <c r="H73" s="119">
        <v>0</v>
      </c>
      <c r="I73" s="119">
        <v>0</v>
      </c>
      <c r="J73" s="268">
        <v>0</v>
      </c>
      <c r="K73" s="264">
        <f>F73+G73+H73+I73+J73</f>
        <v>221961</v>
      </c>
    </row>
    <row r="74" spans="1:11" ht="15" customHeight="1" thickBot="1" x14ac:dyDescent="0.3">
      <c r="A74" s="605"/>
      <c r="B74" s="608"/>
      <c r="C74" s="611"/>
      <c r="D74" s="614"/>
      <c r="E74" s="373" t="s">
        <v>105</v>
      </c>
      <c r="F74" s="374">
        <f t="shared" ref="F74:K74" si="20">SUM(F72:F73)</f>
        <v>196425</v>
      </c>
      <c r="G74" s="374">
        <f t="shared" si="20"/>
        <v>25536</v>
      </c>
      <c r="H74" s="374">
        <f t="shared" si="20"/>
        <v>0</v>
      </c>
      <c r="I74" s="374">
        <f t="shared" si="20"/>
        <v>96055</v>
      </c>
      <c r="J74" s="374">
        <f t="shared" si="20"/>
        <v>0</v>
      </c>
      <c r="K74" s="375">
        <f t="shared" si="20"/>
        <v>318016</v>
      </c>
    </row>
    <row r="75" spans="1:11" ht="15" customHeight="1" x14ac:dyDescent="0.25">
      <c r="A75" s="596" t="s">
        <v>109</v>
      </c>
      <c r="B75" s="597"/>
      <c r="C75" s="597"/>
      <c r="D75" s="598"/>
      <c r="E75" s="302" t="s">
        <v>137</v>
      </c>
      <c r="F75" s="303">
        <f>F12+F15+F18+F21+F24+F27+F30+F33+F36+F39+F42+F45+F48+F51+F54+F57+F60+F63+F66+F69+F72</f>
        <v>243087282</v>
      </c>
      <c r="G75" s="303">
        <f t="shared" ref="G75:K76" si="21">G12+G15+G18+G21+G24+G27+G30+G33+G36+G39+G42+G45+G48+G51+G54+G57+G60+G63+G66+G69+G72</f>
        <v>4912183</v>
      </c>
      <c r="H75" s="303">
        <f t="shared" si="21"/>
        <v>391301706</v>
      </c>
      <c r="I75" s="303">
        <f t="shared" si="21"/>
        <v>55718647</v>
      </c>
      <c r="J75" s="303">
        <f t="shared" si="21"/>
        <v>191775544</v>
      </c>
      <c r="K75" s="304">
        <f t="shared" si="21"/>
        <v>886795362</v>
      </c>
    </row>
    <row r="76" spans="1:11" ht="15" customHeight="1" x14ac:dyDescent="0.25">
      <c r="A76" s="599"/>
      <c r="B76" s="600"/>
      <c r="C76" s="600"/>
      <c r="D76" s="601"/>
      <c r="E76" s="305" t="s">
        <v>138</v>
      </c>
      <c r="F76" s="306">
        <f>F13+F16+F19+F22+F25+F28+F31+F34+F37+F40+F43+F46+F49+F52+F55+F58+F61+F64+F67+F70+F73</f>
        <v>203938153</v>
      </c>
      <c r="G76" s="306">
        <f t="shared" si="21"/>
        <v>28140514</v>
      </c>
      <c r="H76" s="306">
        <f t="shared" si="21"/>
        <v>12749749</v>
      </c>
      <c r="I76" s="306">
        <f t="shared" si="21"/>
        <v>0</v>
      </c>
      <c r="J76" s="306">
        <f t="shared" si="21"/>
        <v>1738000</v>
      </c>
      <c r="K76" s="307">
        <f t="shared" si="21"/>
        <v>246566416</v>
      </c>
    </row>
    <row r="77" spans="1:11" ht="15" customHeight="1" thickBot="1" x14ac:dyDescent="0.3">
      <c r="A77" s="567"/>
      <c r="B77" s="568"/>
      <c r="C77" s="568"/>
      <c r="D77" s="602"/>
      <c r="E77" s="308" t="s">
        <v>105</v>
      </c>
      <c r="F77" s="309">
        <f>SUM(F75:F76)</f>
        <v>447025435</v>
      </c>
      <c r="G77" s="309">
        <f>SUM(G75:G76)</f>
        <v>33052697</v>
      </c>
      <c r="H77" s="309">
        <f>SUM(H75:H76)</f>
        <v>404051455</v>
      </c>
      <c r="I77" s="309">
        <f>SUM(I75:I76)</f>
        <v>55718647</v>
      </c>
      <c r="J77" s="309">
        <f t="shared" ref="J77:K77" si="22">SUM(J75:J76)</f>
        <v>193513544</v>
      </c>
      <c r="K77" s="310">
        <f t="shared" si="22"/>
        <v>1133361778</v>
      </c>
    </row>
    <row r="78" spans="1:11" ht="15" customHeight="1" x14ac:dyDescent="0.25">
      <c r="A78" s="635"/>
      <c r="B78" s="635"/>
      <c r="C78" s="635"/>
      <c r="D78" s="635"/>
      <c r="E78" s="635"/>
      <c r="F78" s="635"/>
      <c r="G78" s="635"/>
    </row>
    <row r="79" spans="1:11" ht="16.5" thickBot="1" x14ac:dyDescent="0.3">
      <c r="J79" s="649" t="s">
        <v>201</v>
      </c>
      <c r="K79" s="649"/>
    </row>
    <row r="80" spans="1:11" x14ac:dyDescent="0.25">
      <c r="A80" s="636" t="s">
        <v>9</v>
      </c>
      <c r="B80" s="639" t="s">
        <v>96</v>
      </c>
      <c r="C80" s="639"/>
      <c r="D80" s="639"/>
      <c r="E80" s="650" t="s">
        <v>267</v>
      </c>
      <c r="F80" s="650"/>
      <c r="G80" s="650"/>
      <c r="H80" s="650"/>
      <c r="I80" s="650"/>
      <c r="J80" s="650"/>
      <c r="K80" s="651"/>
    </row>
    <row r="81" spans="1:11" x14ac:dyDescent="0.25">
      <c r="A81" s="637"/>
      <c r="B81" s="629"/>
      <c r="C81" s="629"/>
      <c r="D81" s="629"/>
      <c r="E81" s="631" t="s">
        <v>139</v>
      </c>
      <c r="F81" s="631"/>
      <c r="G81" s="631"/>
      <c r="H81" s="631"/>
      <c r="I81" s="631"/>
      <c r="J81" s="631"/>
      <c r="K81" s="652"/>
    </row>
    <row r="82" spans="1:11" x14ac:dyDescent="0.25">
      <c r="A82" s="637"/>
      <c r="B82" s="653" t="s">
        <v>100</v>
      </c>
      <c r="C82" s="629" t="s">
        <v>101</v>
      </c>
      <c r="D82" s="629" t="s">
        <v>159</v>
      </c>
      <c r="E82" s="629" t="s">
        <v>135</v>
      </c>
      <c r="F82" s="631" t="s">
        <v>108</v>
      </c>
      <c r="G82" s="631"/>
      <c r="H82" s="631"/>
      <c r="I82" s="631"/>
      <c r="J82" s="631"/>
      <c r="K82" s="652"/>
    </row>
    <row r="83" spans="1:11" ht="24.75" thickBot="1" x14ac:dyDescent="0.3">
      <c r="A83" s="638"/>
      <c r="B83" s="654"/>
      <c r="C83" s="630"/>
      <c r="D83" s="630"/>
      <c r="E83" s="630"/>
      <c r="F83" s="299" t="s">
        <v>140</v>
      </c>
      <c r="G83" s="299" t="s">
        <v>141</v>
      </c>
      <c r="H83" s="299" t="s">
        <v>142</v>
      </c>
      <c r="I83" s="300" t="s">
        <v>146</v>
      </c>
      <c r="J83" s="298" t="s">
        <v>143</v>
      </c>
      <c r="K83" s="301" t="s">
        <v>105</v>
      </c>
    </row>
    <row r="84" spans="1:11" ht="15" customHeight="1" x14ac:dyDescent="0.25">
      <c r="A84" s="603" t="s">
        <v>1</v>
      </c>
      <c r="B84" s="624" t="s">
        <v>162</v>
      </c>
      <c r="C84" s="624" t="s">
        <v>163</v>
      </c>
      <c r="D84" s="612">
        <v>0.95</v>
      </c>
      <c r="E84" s="89" t="s">
        <v>137</v>
      </c>
      <c r="F84" s="108">
        <v>1296856</v>
      </c>
      <c r="G84" s="108">
        <v>181199</v>
      </c>
      <c r="H84" s="108">
        <v>243431</v>
      </c>
      <c r="I84" s="108">
        <v>0</v>
      </c>
      <c r="J84" s="115">
        <v>0</v>
      </c>
      <c r="K84" s="267">
        <f>F84+G84+H84+I84+J84</f>
        <v>1721486</v>
      </c>
    </row>
    <row r="85" spans="1:11" ht="15" customHeight="1" x14ac:dyDescent="0.25">
      <c r="A85" s="604"/>
      <c r="B85" s="625"/>
      <c r="C85" s="625"/>
      <c r="D85" s="613"/>
      <c r="E85" s="50" t="s">
        <v>138</v>
      </c>
      <c r="F85" s="114">
        <v>0</v>
      </c>
      <c r="G85" s="114">
        <v>0</v>
      </c>
      <c r="H85" s="114">
        <v>0</v>
      </c>
      <c r="I85" s="114">
        <v>0</v>
      </c>
      <c r="J85" s="268">
        <v>0</v>
      </c>
      <c r="K85" s="264">
        <f>F85+G85+H85+I85+J85</f>
        <v>0</v>
      </c>
    </row>
    <row r="86" spans="1:11" ht="15" customHeight="1" thickBot="1" x14ac:dyDescent="0.3">
      <c r="A86" s="605"/>
      <c r="B86" s="626"/>
      <c r="C86" s="626"/>
      <c r="D86" s="614"/>
      <c r="E86" s="373" t="s">
        <v>105</v>
      </c>
      <c r="F86" s="374">
        <f t="shared" ref="F86:K86" si="23">SUM(F84:F85)</f>
        <v>1296856</v>
      </c>
      <c r="G86" s="374">
        <f t="shared" si="23"/>
        <v>181199</v>
      </c>
      <c r="H86" s="374">
        <f t="shared" si="23"/>
        <v>243431</v>
      </c>
      <c r="I86" s="374">
        <f t="shared" si="23"/>
        <v>0</v>
      </c>
      <c r="J86" s="374">
        <f t="shared" si="23"/>
        <v>0</v>
      </c>
      <c r="K86" s="375">
        <f t="shared" si="23"/>
        <v>1721486</v>
      </c>
    </row>
    <row r="87" spans="1:11" ht="15" customHeight="1" x14ac:dyDescent="0.25">
      <c r="A87" s="603" t="s">
        <v>2</v>
      </c>
      <c r="B87" s="624" t="s">
        <v>164</v>
      </c>
      <c r="C87" s="624" t="s">
        <v>165</v>
      </c>
      <c r="D87" s="612">
        <v>0.95</v>
      </c>
      <c r="E87" s="89" t="s">
        <v>137</v>
      </c>
      <c r="F87" s="108">
        <v>767395</v>
      </c>
      <c r="G87" s="108">
        <v>81415</v>
      </c>
      <c r="H87" s="108">
        <v>647226</v>
      </c>
      <c r="I87" s="108">
        <v>0</v>
      </c>
      <c r="J87" s="115">
        <v>0</v>
      </c>
      <c r="K87" s="267">
        <f>F87+G87+H87+I87+J87</f>
        <v>1496036</v>
      </c>
    </row>
    <row r="88" spans="1:11" ht="15" customHeight="1" x14ac:dyDescent="0.25">
      <c r="A88" s="604"/>
      <c r="B88" s="625"/>
      <c r="C88" s="625"/>
      <c r="D88" s="613"/>
      <c r="E88" s="50" t="s">
        <v>138</v>
      </c>
      <c r="F88" s="114">
        <v>1200000</v>
      </c>
      <c r="G88" s="114">
        <v>156000</v>
      </c>
      <c r="H88" s="114">
        <v>0</v>
      </c>
      <c r="I88" s="114">
        <v>0</v>
      </c>
      <c r="J88" s="268">
        <v>0</v>
      </c>
      <c r="K88" s="264">
        <f>F88+G88+H88+I88+J88</f>
        <v>1356000</v>
      </c>
    </row>
    <row r="89" spans="1:11" ht="15" customHeight="1" thickBot="1" x14ac:dyDescent="0.3">
      <c r="A89" s="605"/>
      <c r="B89" s="626"/>
      <c r="C89" s="626"/>
      <c r="D89" s="614"/>
      <c r="E89" s="373" t="s">
        <v>105</v>
      </c>
      <c r="F89" s="374">
        <f t="shared" ref="F89:K89" si="24">SUM(F87:F88)</f>
        <v>1967395</v>
      </c>
      <c r="G89" s="374">
        <f t="shared" si="24"/>
        <v>237415</v>
      </c>
      <c r="H89" s="374">
        <f t="shared" si="24"/>
        <v>647226</v>
      </c>
      <c r="I89" s="374">
        <f t="shared" si="24"/>
        <v>0</v>
      </c>
      <c r="J89" s="374">
        <f t="shared" si="24"/>
        <v>0</v>
      </c>
      <c r="K89" s="375">
        <f t="shared" si="24"/>
        <v>2852036</v>
      </c>
    </row>
    <row r="90" spans="1:11" ht="15" customHeight="1" x14ac:dyDescent="0.25">
      <c r="A90" s="603" t="s">
        <v>4</v>
      </c>
      <c r="B90" s="624" t="s">
        <v>293</v>
      </c>
      <c r="C90" s="624" t="s">
        <v>294</v>
      </c>
      <c r="D90" s="612">
        <v>0.95</v>
      </c>
      <c r="E90" s="89" t="s">
        <v>137</v>
      </c>
      <c r="F90" s="108">
        <v>626203</v>
      </c>
      <c r="G90" s="108">
        <v>6558</v>
      </c>
      <c r="H90" s="108">
        <v>1633344</v>
      </c>
      <c r="I90" s="108">
        <v>0</v>
      </c>
      <c r="J90" s="115">
        <v>533273</v>
      </c>
      <c r="K90" s="267">
        <f>F90+G90+H90+I90+J90</f>
        <v>2799378</v>
      </c>
    </row>
    <row r="91" spans="1:11" ht="15" customHeight="1" x14ac:dyDescent="0.25">
      <c r="A91" s="604"/>
      <c r="B91" s="625"/>
      <c r="C91" s="625"/>
      <c r="D91" s="613"/>
      <c r="E91" s="50" t="s">
        <v>138</v>
      </c>
      <c r="F91" s="114">
        <v>11285454</v>
      </c>
      <c r="G91" s="114">
        <v>1575321</v>
      </c>
      <c r="H91" s="114">
        <v>0</v>
      </c>
      <c r="I91" s="114">
        <v>0</v>
      </c>
      <c r="J91" s="268"/>
      <c r="K91" s="264">
        <f>F91+G91+H91+I91+J91</f>
        <v>12860775</v>
      </c>
    </row>
    <row r="92" spans="1:11" ht="15" customHeight="1" thickBot="1" x14ac:dyDescent="0.3">
      <c r="A92" s="605"/>
      <c r="B92" s="626"/>
      <c r="C92" s="626"/>
      <c r="D92" s="614"/>
      <c r="E92" s="373" t="s">
        <v>105</v>
      </c>
      <c r="F92" s="374">
        <f t="shared" ref="F92:K92" si="25">SUM(F90:F91)</f>
        <v>11911657</v>
      </c>
      <c r="G92" s="374">
        <f t="shared" si="25"/>
        <v>1581879</v>
      </c>
      <c r="H92" s="374">
        <f t="shared" si="25"/>
        <v>1633344</v>
      </c>
      <c r="I92" s="374">
        <f t="shared" si="25"/>
        <v>0</v>
      </c>
      <c r="J92" s="374">
        <f t="shared" si="25"/>
        <v>533273</v>
      </c>
      <c r="K92" s="375">
        <f t="shared" si="25"/>
        <v>15660153</v>
      </c>
    </row>
    <row r="93" spans="1:11" s="265" customFormat="1" ht="15" customHeight="1" x14ac:dyDescent="0.25">
      <c r="A93" s="603" t="s">
        <v>5</v>
      </c>
      <c r="B93" s="624" t="s">
        <v>295</v>
      </c>
      <c r="C93" s="624" t="s">
        <v>296</v>
      </c>
      <c r="D93" s="612">
        <v>0.95</v>
      </c>
      <c r="E93" s="266" t="s">
        <v>137</v>
      </c>
      <c r="F93" s="108">
        <v>633282</v>
      </c>
      <c r="G93" s="108">
        <v>37630</v>
      </c>
      <c r="H93" s="108">
        <v>1567968</v>
      </c>
      <c r="I93" s="108">
        <v>0</v>
      </c>
      <c r="J93" s="115">
        <v>0</v>
      </c>
      <c r="K93" s="267">
        <f>F93+G93+H93+I93+J93</f>
        <v>2238880</v>
      </c>
    </row>
    <row r="94" spans="1:11" ht="15" customHeight="1" x14ac:dyDescent="0.25">
      <c r="A94" s="604"/>
      <c r="B94" s="625"/>
      <c r="C94" s="625"/>
      <c r="D94" s="613"/>
      <c r="E94" s="50" t="s">
        <v>138</v>
      </c>
      <c r="F94" s="114">
        <v>10175954</v>
      </c>
      <c r="G94" s="114">
        <v>1423104</v>
      </c>
      <c r="H94" s="114">
        <v>0</v>
      </c>
      <c r="I94" s="114">
        <v>0</v>
      </c>
      <c r="J94" s="268">
        <v>0</v>
      </c>
      <c r="K94" s="264">
        <f>F94+G94+H94+I94+J94</f>
        <v>11599058</v>
      </c>
    </row>
    <row r="95" spans="1:11" ht="15" customHeight="1" thickBot="1" x14ac:dyDescent="0.3">
      <c r="A95" s="605"/>
      <c r="B95" s="626"/>
      <c r="C95" s="626"/>
      <c r="D95" s="614"/>
      <c r="E95" s="373" t="s">
        <v>105</v>
      </c>
      <c r="F95" s="374">
        <f t="shared" ref="F95:K95" si="26">SUM(F93:F94)</f>
        <v>10809236</v>
      </c>
      <c r="G95" s="374">
        <f t="shared" si="26"/>
        <v>1460734</v>
      </c>
      <c r="H95" s="374">
        <f t="shared" si="26"/>
        <v>1567968</v>
      </c>
      <c r="I95" s="374">
        <f t="shared" si="26"/>
        <v>0</v>
      </c>
      <c r="J95" s="374">
        <f t="shared" si="26"/>
        <v>0</v>
      </c>
      <c r="K95" s="375">
        <f t="shared" si="26"/>
        <v>13837938</v>
      </c>
    </row>
    <row r="96" spans="1:11" ht="15" customHeight="1" x14ac:dyDescent="0.25">
      <c r="A96" s="603" t="s">
        <v>7</v>
      </c>
      <c r="B96" s="624" t="s">
        <v>297</v>
      </c>
      <c r="C96" s="624" t="s">
        <v>298</v>
      </c>
      <c r="D96" s="612">
        <v>0.95</v>
      </c>
      <c r="E96" s="89" t="s">
        <v>137</v>
      </c>
      <c r="F96" s="108">
        <v>1123949</v>
      </c>
      <c r="G96" s="108">
        <v>1308</v>
      </c>
      <c r="H96" s="108">
        <v>1046797</v>
      </c>
      <c r="I96" s="108">
        <v>0</v>
      </c>
      <c r="J96" s="115"/>
      <c r="K96" s="267">
        <f>F96+G96+H96+I96+J96</f>
        <v>2172054</v>
      </c>
    </row>
    <row r="97" spans="1:12" ht="15" customHeight="1" x14ac:dyDescent="0.25">
      <c r="A97" s="604"/>
      <c r="B97" s="625"/>
      <c r="C97" s="625"/>
      <c r="D97" s="613"/>
      <c r="E97" s="50" t="s">
        <v>138</v>
      </c>
      <c r="F97" s="114">
        <v>9967783</v>
      </c>
      <c r="G97" s="114">
        <v>1386165</v>
      </c>
      <c r="H97" s="114">
        <v>0</v>
      </c>
      <c r="I97" s="114">
        <v>0</v>
      </c>
      <c r="J97" s="268"/>
      <c r="K97" s="264">
        <f>F97+G97+H97+I97+J97</f>
        <v>11353948</v>
      </c>
    </row>
    <row r="98" spans="1:12" ht="15" customHeight="1" thickBot="1" x14ac:dyDescent="0.3">
      <c r="A98" s="605"/>
      <c r="B98" s="626"/>
      <c r="C98" s="626"/>
      <c r="D98" s="614"/>
      <c r="E98" s="373" t="s">
        <v>105</v>
      </c>
      <c r="F98" s="374">
        <f t="shared" ref="F98:K98" si="27">SUM(F96:F97)</f>
        <v>11091732</v>
      </c>
      <c r="G98" s="374">
        <f t="shared" si="27"/>
        <v>1387473</v>
      </c>
      <c r="H98" s="374">
        <f t="shared" si="27"/>
        <v>1046797</v>
      </c>
      <c r="I98" s="374">
        <f t="shared" si="27"/>
        <v>0</v>
      </c>
      <c r="J98" s="374">
        <f t="shared" si="27"/>
        <v>0</v>
      </c>
      <c r="K98" s="375">
        <f t="shared" si="27"/>
        <v>13526002</v>
      </c>
    </row>
    <row r="99" spans="1:12" ht="15" customHeight="1" x14ac:dyDescent="0.25">
      <c r="A99" s="603" t="s">
        <v>27</v>
      </c>
      <c r="B99" s="624" t="s">
        <v>299</v>
      </c>
      <c r="C99" s="624" t="s">
        <v>300</v>
      </c>
      <c r="D99" s="612">
        <v>0.95</v>
      </c>
      <c r="E99" s="89" t="s">
        <v>137</v>
      </c>
      <c r="F99" s="108">
        <v>913815</v>
      </c>
      <c r="G99" s="108">
        <v>29028</v>
      </c>
      <c r="H99" s="108">
        <v>1152815</v>
      </c>
      <c r="I99" s="108">
        <v>0</v>
      </c>
      <c r="J99" s="115">
        <v>0</v>
      </c>
      <c r="K99" s="267">
        <f>F99+G99+H99+I99+J99</f>
        <v>2095658</v>
      </c>
    </row>
    <row r="100" spans="1:12" ht="15" customHeight="1" x14ac:dyDescent="0.25">
      <c r="A100" s="604"/>
      <c r="B100" s="625"/>
      <c r="C100" s="625"/>
      <c r="D100" s="613"/>
      <c r="E100" s="50" t="s">
        <v>138</v>
      </c>
      <c r="F100" s="114">
        <v>8270560</v>
      </c>
      <c r="G100" s="114">
        <v>1158694</v>
      </c>
      <c r="H100" s="114">
        <v>0</v>
      </c>
      <c r="I100" s="114">
        <v>0</v>
      </c>
      <c r="J100" s="268">
        <v>0</v>
      </c>
      <c r="K100" s="264">
        <f>F100+G100+H100+I100+J100</f>
        <v>9429254</v>
      </c>
      <c r="L100" s="66"/>
    </row>
    <row r="101" spans="1:12" ht="15" customHeight="1" thickBot="1" x14ac:dyDescent="0.3">
      <c r="A101" s="605"/>
      <c r="B101" s="626"/>
      <c r="C101" s="626"/>
      <c r="D101" s="614"/>
      <c r="E101" s="373" t="s">
        <v>105</v>
      </c>
      <c r="F101" s="374">
        <f t="shared" ref="F101:K101" si="28">SUM(F99:F100)</f>
        <v>9184375</v>
      </c>
      <c r="G101" s="374">
        <f t="shared" si="28"/>
        <v>1187722</v>
      </c>
      <c r="H101" s="374">
        <f t="shared" si="28"/>
        <v>1152815</v>
      </c>
      <c r="I101" s="374">
        <f t="shared" si="28"/>
        <v>0</v>
      </c>
      <c r="J101" s="374">
        <f t="shared" si="28"/>
        <v>0</v>
      </c>
      <c r="K101" s="375">
        <f t="shared" si="28"/>
        <v>11524912</v>
      </c>
    </row>
    <row r="102" spans="1:12" s="265" customFormat="1" ht="15" customHeight="1" x14ac:dyDescent="0.25">
      <c r="A102" s="603" t="s">
        <v>81</v>
      </c>
      <c r="B102" s="607" t="s">
        <v>301</v>
      </c>
      <c r="C102" s="625" t="s">
        <v>302</v>
      </c>
      <c r="D102" s="613">
        <v>0.95</v>
      </c>
      <c r="E102" s="118" t="s">
        <v>137</v>
      </c>
      <c r="F102" s="108">
        <v>326611</v>
      </c>
      <c r="G102" s="108">
        <v>6485</v>
      </c>
      <c r="H102" s="108">
        <v>538135</v>
      </c>
      <c r="I102" s="108">
        <v>0</v>
      </c>
      <c r="J102" s="115">
        <v>1109980</v>
      </c>
      <c r="K102" s="267">
        <f>F102+G102+H102+I102+J102</f>
        <v>1981211</v>
      </c>
    </row>
    <row r="103" spans="1:12" ht="15" customHeight="1" x14ac:dyDescent="0.25">
      <c r="A103" s="604"/>
      <c r="B103" s="607"/>
      <c r="C103" s="625"/>
      <c r="D103" s="613"/>
      <c r="E103" s="50" t="s">
        <v>138</v>
      </c>
      <c r="F103" s="114">
        <v>8657496</v>
      </c>
      <c r="G103" s="114">
        <v>1216561</v>
      </c>
      <c r="H103" s="114">
        <v>11510</v>
      </c>
      <c r="I103" s="114">
        <v>0</v>
      </c>
      <c r="J103" s="268">
        <v>0</v>
      </c>
      <c r="K103" s="264">
        <f>F103+G103+H103+I103+J103</f>
        <v>9885567</v>
      </c>
    </row>
    <row r="104" spans="1:12" ht="15" customHeight="1" thickBot="1" x14ac:dyDescent="0.3">
      <c r="A104" s="605"/>
      <c r="B104" s="608"/>
      <c r="C104" s="626"/>
      <c r="D104" s="614"/>
      <c r="E104" s="373" t="s">
        <v>105</v>
      </c>
      <c r="F104" s="374">
        <f t="shared" ref="F104:K104" si="29">SUM(F102:F103)</f>
        <v>8984107</v>
      </c>
      <c r="G104" s="374">
        <f t="shared" si="29"/>
        <v>1223046</v>
      </c>
      <c r="H104" s="374">
        <f t="shared" si="29"/>
        <v>549645</v>
      </c>
      <c r="I104" s="374">
        <f t="shared" si="29"/>
        <v>0</v>
      </c>
      <c r="J104" s="374">
        <f t="shared" si="29"/>
        <v>1109980</v>
      </c>
      <c r="K104" s="375">
        <f t="shared" si="29"/>
        <v>11866778</v>
      </c>
    </row>
    <row r="105" spans="1:12" s="265" customFormat="1" ht="15" customHeight="1" x14ac:dyDescent="0.25">
      <c r="A105" s="603" t="s">
        <v>82</v>
      </c>
      <c r="B105" s="607" t="s">
        <v>207</v>
      </c>
      <c r="C105" s="625">
        <v>101035163</v>
      </c>
      <c r="D105" s="613">
        <v>0.65</v>
      </c>
      <c r="E105" s="118" t="s">
        <v>137</v>
      </c>
      <c r="F105" s="108">
        <v>2182919</v>
      </c>
      <c r="G105" s="108">
        <v>194764</v>
      </c>
      <c r="H105" s="108">
        <v>809331</v>
      </c>
      <c r="I105" s="108">
        <v>0</v>
      </c>
      <c r="J105" s="115"/>
      <c r="K105" s="267">
        <f>F105+G105+H105+I105+J105</f>
        <v>3187014</v>
      </c>
    </row>
    <row r="106" spans="1:12" ht="15" customHeight="1" x14ac:dyDescent="0.25">
      <c r="A106" s="604"/>
      <c r="B106" s="607"/>
      <c r="C106" s="625"/>
      <c r="D106" s="613"/>
      <c r="E106" s="50" t="s">
        <v>138</v>
      </c>
      <c r="F106" s="114">
        <v>8041445</v>
      </c>
      <c r="G106" s="114">
        <v>1113642</v>
      </c>
      <c r="H106" s="114">
        <v>80443</v>
      </c>
      <c r="I106" s="114">
        <v>0</v>
      </c>
      <c r="J106" s="268"/>
      <c r="K106" s="264">
        <f>F106+G106+H106+I106+J106</f>
        <v>9235530</v>
      </c>
    </row>
    <row r="107" spans="1:12" ht="15" customHeight="1" thickBot="1" x14ac:dyDescent="0.3">
      <c r="A107" s="605"/>
      <c r="B107" s="608"/>
      <c r="C107" s="626"/>
      <c r="D107" s="614"/>
      <c r="E107" s="373" t="s">
        <v>105</v>
      </c>
      <c r="F107" s="374">
        <f t="shared" ref="F107:K107" si="30">SUM(F105:F106)</f>
        <v>10224364</v>
      </c>
      <c r="G107" s="374">
        <f t="shared" si="30"/>
        <v>1308406</v>
      </c>
      <c r="H107" s="374">
        <f t="shared" si="30"/>
        <v>889774</v>
      </c>
      <c r="I107" s="374">
        <f t="shared" si="30"/>
        <v>0</v>
      </c>
      <c r="J107" s="374">
        <f t="shared" si="30"/>
        <v>0</v>
      </c>
      <c r="K107" s="375">
        <f t="shared" si="30"/>
        <v>12422544</v>
      </c>
    </row>
    <row r="108" spans="1:12" s="265" customFormat="1" ht="15" customHeight="1" x14ac:dyDescent="0.25">
      <c r="A108" s="603" t="s">
        <v>93</v>
      </c>
      <c r="B108" s="606" t="s">
        <v>226</v>
      </c>
      <c r="C108" s="624">
        <v>101074095</v>
      </c>
      <c r="D108" s="612">
        <v>0.9</v>
      </c>
      <c r="E108" s="266" t="s">
        <v>137</v>
      </c>
      <c r="F108" s="108">
        <v>329087</v>
      </c>
      <c r="G108" s="108">
        <v>25755</v>
      </c>
      <c r="H108" s="108">
        <v>682560</v>
      </c>
      <c r="I108" s="108">
        <v>0</v>
      </c>
      <c r="J108" s="115">
        <v>0</v>
      </c>
      <c r="K108" s="267">
        <f>F108+G108+H108+I108+J108</f>
        <v>1037402</v>
      </c>
    </row>
    <row r="109" spans="1:12" ht="15" customHeight="1" x14ac:dyDescent="0.25">
      <c r="A109" s="604"/>
      <c r="B109" s="607"/>
      <c r="C109" s="625"/>
      <c r="D109" s="613"/>
      <c r="E109" s="50" t="s">
        <v>138</v>
      </c>
      <c r="F109" s="114">
        <v>3120427</v>
      </c>
      <c r="G109" s="114">
        <v>435192</v>
      </c>
      <c r="H109" s="114">
        <v>0</v>
      </c>
      <c r="I109" s="114">
        <v>0</v>
      </c>
      <c r="J109" s="268">
        <v>0</v>
      </c>
      <c r="K109" s="264">
        <f>F109+G109+H109+I109+J109</f>
        <v>3555619</v>
      </c>
    </row>
    <row r="110" spans="1:12" ht="15" customHeight="1" thickBot="1" x14ac:dyDescent="0.3">
      <c r="A110" s="604"/>
      <c r="B110" s="607"/>
      <c r="C110" s="625"/>
      <c r="D110" s="613"/>
      <c r="E110" s="447" t="s">
        <v>105</v>
      </c>
      <c r="F110" s="374">
        <f t="shared" ref="F110:K110" si="31">SUM(F108:F109)</f>
        <v>3449514</v>
      </c>
      <c r="G110" s="374">
        <f t="shared" si="31"/>
        <v>460947</v>
      </c>
      <c r="H110" s="374">
        <f t="shared" si="31"/>
        <v>682560</v>
      </c>
      <c r="I110" s="374">
        <f t="shared" si="31"/>
        <v>0</v>
      </c>
      <c r="J110" s="374">
        <f t="shared" si="31"/>
        <v>0</v>
      </c>
      <c r="K110" s="375">
        <f t="shared" si="31"/>
        <v>4593021</v>
      </c>
    </row>
    <row r="111" spans="1:12" ht="15" customHeight="1" x14ac:dyDescent="0.25">
      <c r="A111" s="603" t="s">
        <v>128</v>
      </c>
      <c r="B111" s="606" t="s">
        <v>111</v>
      </c>
      <c r="C111" s="621" t="s">
        <v>151</v>
      </c>
      <c r="D111" s="612">
        <v>1</v>
      </c>
      <c r="E111" s="89" t="s">
        <v>137</v>
      </c>
      <c r="F111" s="108">
        <v>0</v>
      </c>
      <c r="G111" s="108">
        <v>0</v>
      </c>
      <c r="H111" s="108">
        <v>0</v>
      </c>
      <c r="I111" s="108">
        <v>0</v>
      </c>
      <c r="J111" s="115">
        <v>0</v>
      </c>
      <c r="K111" s="267">
        <f>F111+G111+H111+I111+J111</f>
        <v>0</v>
      </c>
    </row>
    <row r="112" spans="1:12" ht="15" customHeight="1" x14ac:dyDescent="0.25">
      <c r="A112" s="604"/>
      <c r="B112" s="607"/>
      <c r="C112" s="622"/>
      <c r="D112" s="613"/>
      <c r="E112" s="50" t="s">
        <v>138</v>
      </c>
      <c r="F112" s="114">
        <v>14683957</v>
      </c>
      <c r="G112" s="114">
        <v>2060529</v>
      </c>
      <c r="H112" s="114">
        <v>338892</v>
      </c>
      <c r="I112" s="114">
        <v>0</v>
      </c>
      <c r="J112" s="268">
        <v>0</v>
      </c>
      <c r="K112" s="264">
        <f>F112+G112+H112+I112+J112</f>
        <v>17083378</v>
      </c>
    </row>
    <row r="113" spans="1:11" ht="15" customHeight="1" thickBot="1" x14ac:dyDescent="0.3">
      <c r="A113" s="605"/>
      <c r="B113" s="608"/>
      <c r="C113" s="623"/>
      <c r="D113" s="614"/>
      <c r="E113" s="373" t="s">
        <v>105</v>
      </c>
      <c r="F113" s="374">
        <f t="shared" ref="F113:K113" si="32">SUM(F111:F112)</f>
        <v>14683957</v>
      </c>
      <c r="G113" s="374">
        <f t="shared" si="32"/>
        <v>2060529</v>
      </c>
      <c r="H113" s="374">
        <f t="shared" si="32"/>
        <v>338892</v>
      </c>
      <c r="I113" s="374">
        <f t="shared" si="32"/>
        <v>0</v>
      </c>
      <c r="J113" s="374">
        <f t="shared" si="32"/>
        <v>0</v>
      </c>
      <c r="K113" s="375">
        <f t="shared" si="32"/>
        <v>17083378</v>
      </c>
    </row>
    <row r="114" spans="1:11" ht="15" customHeight="1" x14ac:dyDescent="0.25">
      <c r="A114" s="603" t="s">
        <v>129</v>
      </c>
      <c r="B114" s="606" t="s">
        <v>145</v>
      </c>
      <c r="C114" s="609" t="s">
        <v>152</v>
      </c>
      <c r="D114" s="612">
        <v>1</v>
      </c>
      <c r="E114" s="89" t="s">
        <v>137</v>
      </c>
      <c r="F114" s="108">
        <v>849750</v>
      </c>
      <c r="G114" s="108">
        <v>31589</v>
      </c>
      <c r="H114" s="108">
        <v>8754081</v>
      </c>
      <c r="I114" s="108">
        <v>0</v>
      </c>
      <c r="J114" s="115">
        <f>16235985+2063750</f>
        <v>18299735</v>
      </c>
      <c r="K114" s="267">
        <f>F114+G114+H114+I114+J114</f>
        <v>27935155</v>
      </c>
    </row>
    <row r="115" spans="1:11" ht="15" customHeight="1" x14ac:dyDescent="0.25">
      <c r="A115" s="604"/>
      <c r="B115" s="607"/>
      <c r="C115" s="610"/>
      <c r="D115" s="613"/>
      <c r="E115" s="50" t="s">
        <v>138</v>
      </c>
      <c r="F115" s="114">
        <v>6841093</v>
      </c>
      <c r="G115" s="114">
        <v>924382</v>
      </c>
      <c r="H115" s="114">
        <v>0</v>
      </c>
      <c r="I115" s="114">
        <v>0</v>
      </c>
      <c r="J115" s="268">
        <v>0</v>
      </c>
      <c r="K115" s="264">
        <f>F115+G115+H115+I115+J115</f>
        <v>7765475</v>
      </c>
    </row>
    <row r="116" spans="1:11" ht="15" customHeight="1" thickBot="1" x14ac:dyDescent="0.3">
      <c r="A116" s="605"/>
      <c r="B116" s="608"/>
      <c r="C116" s="611"/>
      <c r="D116" s="614"/>
      <c r="E116" s="373" t="s">
        <v>105</v>
      </c>
      <c r="F116" s="374">
        <f t="shared" ref="F116:K116" si="33">SUM(F114:F115)</f>
        <v>7690843</v>
      </c>
      <c r="G116" s="374">
        <f t="shared" si="33"/>
        <v>955971</v>
      </c>
      <c r="H116" s="374">
        <f t="shared" si="33"/>
        <v>8754081</v>
      </c>
      <c r="I116" s="374">
        <f t="shared" si="33"/>
        <v>0</v>
      </c>
      <c r="J116" s="374">
        <f t="shared" si="33"/>
        <v>18299735</v>
      </c>
      <c r="K116" s="375">
        <f t="shared" si="33"/>
        <v>35700630</v>
      </c>
    </row>
    <row r="117" spans="1:11" ht="15" customHeight="1" x14ac:dyDescent="0.25">
      <c r="A117" s="603" t="s">
        <v>133</v>
      </c>
      <c r="B117" s="620" t="s">
        <v>166</v>
      </c>
      <c r="C117" s="621" t="s">
        <v>167</v>
      </c>
      <c r="D117" s="612">
        <v>1</v>
      </c>
      <c r="E117" s="89" t="s">
        <v>137</v>
      </c>
      <c r="F117" s="108">
        <v>195993693</v>
      </c>
      <c r="G117" s="108">
        <v>2196049</v>
      </c>
      <c r="H117" s="108">
        <v>152464575</v>
      </c>
      <c r="I117" s="108">
        <v>0</v>
      </c>
      <c r="J117" s="115">
        <v>36732323</v>
      </c>
      <c r="K117" s="267">
        <f>F117+G117+H117+I117+J117</f>
        <v>387386640</v>
      </c>
    </row>
    <row r="118" spans="1:11" ht="15" customHeight="1" x14ac:dyDescent="0.25">
      <c r="A118" s="604"/>
      <c r="B118" s="618"/>
      <c r="C118" s="622"/>
      <c r="D118" s="613"/>
      <c r="E118" s="50" t="s">
        <v>138</v>
      </c>
      <c r="F118" s="114">
        <v>78806118</v>
      </c>
      <c r="G118" s="114">
        <v>11051708</v>
      </c>
      <c r="H118" s="114">
        <v>516512</v>
      </c>
      <c r="I118" s="114">
        <v>0</v>
      </c>
      <c r="J118" s="268"/>
      <c r="K118" s="264">
        <f>F118+G118+H118+I118+J118</f>
        <v>90374338</v>
      </c>
    </row>
    <row r="119" spans="1:11" ht="15" customHeight="1" thickBot="1" x14ac:dyDescent="0.3">
      <c r="A119" s="605"/>
      <c r="B119" s="619"/>
      <c r="C119" s="623"/>
      <c r="D119" s="614"/>
      <c r="E119" s="373" t="s">
        <v>105</v>
      </c>
      <c r="F119" s="374">
        <f t="shared" ref="F119:K119" si="34">SUM(F117:F118)</f>
        <v>274799811</v>
      </c>
      <c r="G119" s="374">
        <f t="shared" si="34"/>
        <v>13247757</v>
      </c>
      <c r="H119" s="374">
        <f t="shared" si="34"/>
        <v>152981087</v>
      </c>
      <c r="I119" s="374">
        <f t="shared" si="34"/>
        <v>0</v>
      </c>
      <c r="J119" s="374">
        <f t="shared" si="34"/>
        <v>36732323</v>
      </c>
      <c r="K119" s="375">
        <f t="shared" si="34"/>
        <v>477760978</v>
      </c>
    </row>
    <row r="120" spans="1:11" ht="15" customHeight="1" x14ac:dyDescent="0.25">
      <c r="A120" s="603" t="s">
        <v>149</v>
      </c>
      <c r="B120" s="620" t="s">
        <v>208</v>
      </c>
      <c r="C120" s="621" t="s">
        <v>209</v>
      </c>
      <c r="D120" s="612">
        <v>1</v>
      </c>
      <c r="E120" s="89" t="s">
        <v>137</v>
      </c>
      <c r="F120" s="108">
        <v>0</v>
      </c>
      <c r="G120" s="108">
        <v>0</v>
      </c>
      <c r="H120" s="108">
        <v>2235599</v>
      </c>
      <c r="I120" s="108">
        <v>0</v>
      </c>
      <c r="J120" s="115">
        <v>53348338</v>
      </c>
      <c r="K120" s="267">
        <f>F120+G120+H120+I120+J120</f>
        <v>55583937</v>
      </c>
    </row>
    <row r="121" spans="1:11" ht="15" customHeight="1" x14ac:dyDescent="0.25">
      <c r="A121" s="604"/>
      <c r="B121" s="618"/>
      <c r="C121" s="622"/>
      <c r="D121" s="613"/>
      <c r="E121" s="50" t="s">
        <v>138</v>
      </c>
      <c r="F121" s="114">
        <v>5177138</v>
      </c>
      <c r="G121" s="114">
        <v>742083</v>
      </c>
      <c r="H121" s="114">
        <v>0</v>
      </c>
      <c r="I121" s="114">
        <v>0</v>
      </c>
      <c r="J121" s="268">
        <v>1735917</v>
      </c>
      <c r="K121" s="264">
        <f>F121+G121+H121+I121+J121</f>
        <v>7655138</v>
      </c>
    </row>
    <row r="122" spans="1:11" ht="15" customHeight="1" thickBot="1" x14ac:dyDescent="0.3">
      <c r="A122" s="605"/>
      <c r="B122" s="619"/>
      <c r="C122" s="623"/>
      <c r="D122" s="614"/>
      <c r="E122" s="373" t="s">
        <v>105</v>
      </c>
      <c r="F122" s="374">
        <f t="shared" ref="F122:K122" si="35">SUM(F120:F121)</f>
        <v>5177138</v>
      </c>
      <c r="G122" s="374">
        <f t="shared" si="35"/>
        <v>742083</v>
      </c>
      <c r="H122" s="374">
        <f t="shared" si="35"/>
        <v>2235599</v>
      </c>
      <c r="I122" s="374">
        <f t="shared" si="35"/>
        <v>0</v>
      </c>
      <c r="J122" s="374">
        <f t="shared" si="35"/>
        <v>55084255</v>
      </c>
      <c r="K122" s="375">
        <f t="shared" si="35"/>
        <v>63239075</v>
      </c>
    </row>
    <row r="123" spans="1:11" ht="15" customHeight="1" x14ac:dyDescent="0.25">
      <c r="A123" s="603" t="s">
        <v>153</v>
      </c>
      <c r="B123" s="606" t="s">
        <v>227</v>
      </c>
      <c r="C123" s="615" t="s">
        <v>228</v>
      </c>
      <c r="D123" s="612">
        <v>1</v>
      </c>
      <c r="E123" s="89" t="s">
        <v>137</v>
      </c>
      <c r="F123" s="108">
        <v>1803886</v>
      </c>
      <c r="G123" s="108">
        <v>1515</v>
      </c>
      <c r="H123" s="108">
        <v>2159831</v>
      </c>
      <c r="I123" s="108">
        <v>0</v>
      </c>
      <c r="J123" s="115">
        <v>0</v>
      </c>
      <c r="K123" s="267">
        <f>F123+G123+H123+I123+J123</f>
        <v>3965232</v>
      </c>
    </row>
    <row r="124" spans="1:11" ht="15" customHeight="1" x14ac:dyDescent="0.25">
      <c r="A124" s="604"/>
      <c r="B124" s="607"/>
      <c r="C124" s="616"/>
      <c r="D124" s="613"/>
      <c r="E124" s="50" t="s">
        <v>138</v>
      </c>
      <c r="F124" s="114">
        <v>2136467</v>
      </c>
      <c r="G124" s="114">
        <v>318896</v>
      </c>
      <c r="H124" s="114">
        <v>5024</v>
      </c>
      <c r="I124" s="114">
        <v>0</v>
      </c>
      <c r="J124" s="268">
        <v>0</v>
      </c>
      <c r="K124" s="264">
        <f>F124+G124+H124+I124+J124</f>
        <v>2460387</v>
      </c>
    </row>
    <row r="125" spans="1:11" ht="15" customHeight="1" thickBot="1" x14ac:dyDescent="0.3">
      <c r="A125" s="605"/>
      <c r="B125" s="608"/>
      <c r="C125" s="617"/>
      <c r="D125" s="614"/>
      <c r="E125" s="373" t="s">
        <v>105</v>
      </c>
      <c r="F125" s="374">
        <f t="shared" ref="F125:K125" si="36">SUM(F123:F124)</f>
        <v>3940353</v>
      </c>
      <c r="G125" s="374">
        <f t="shared" si="36"/>
        <v>320411</v>
      </c>
      <c r="H125" s="374">
        <f t="shared" si="36"/>
        <v>2164855</v>
      </c>
      <c r="I125" s="374">
        <f t="shared" si="36"/>
        <v>0</v>
      </c>
      <c r="J125" s="374">
        <f t="shared" si="36"/>
        <v>0</v>
      </c>
      <c r="K125" s="375">
        <f t="shared" si="36"/>
        <v>6425619</v>
      </c>
    </row>
    <row r="126" spans="1:11" ht="15" customHeight="1" x14ac:dyDescent="0.25">
      <c r="A126" s="603" t="s">
        <v>154</v>
      </c>
      <c r="B126" s="606" t="s">
        <v>229</v>
      </c>
      <c r="C126" s="615" t="s">
        <v>230</v>
      </c>
      <c r="D126" s="612">
        <v>1</v>
      </c>
      <c r="E126" s="89" t="s">
        <v>137</v>
      </c>
      <c r="F126" s="108">
        <v>18841140</v>
      </c>
      <c r="G126" s="108">
        <v>249206</v>
      </c>
      <c r="H126" s="108">
        <v>5890714</v>
      </c>
      <c r="I126" s="108">
        <v>0</v>
      </c>
      <c r="J126" s="115">
        <v>27024330</v>
      </c>
      <c r="K126" s="267">
        <f>F126+G126+H126+I126+J126</f>
        <v>52005390</v>
      </c>
    </row>
    <row r="127" spans="1:11" ht="15" customHeight="1" x14ac:dyDescent="0.25">
      <c r="A127" s="604"/>
      <c r="B127" s="607"/>
      <c r="C127" s="616"/>
      <c r="D127" s="613"/>
      <c r="E127" s="50" t="s">
        <v>138</v>
      </c>
      <c r="F127" s="114">
        <v>17329326</v>
      </c>
      <c r="G127" s="114">
        <v>2459525</v>
      </c>
      <c r="H127" s="114">
        <v>0</v>
      </c>
      <c r="I127" s="114">
        <v>0</v>
      </c>
      <c r="J127" s="268"/>
      <c r="K127" s="264">
        <f>F127+G127+H127+I127+J127</f>
        <v>19788851</v>
      </c>
    </row>
    <row r="128" spans="1:11" ht="15" customHeight="1" thickBot="1" x14ac:dyDescent="0.3">
      <c r="A128" s="605"/>
      <c r="B128" s="608"/>
      <c r="C128" s="617"/>
      <c r="D128" s="614"/>
      <c r="E128" s="373" t="s">
        <v>105</v>
      </c>
      <c r="F128" s="374">
        <f t="shared" ref="F128:K128" si="37">SUM(F126:F127)</f>
        <v>36170466</v>
      </c>
      <c r="G128" s="374">
        <f t="shared" si="37"/>
        <v>2708731</v>
      </c>
      <c r="H128" s="374">
        <f t="shared" si="37"/>
        <v>5890714</v>
      </c>
      <c r="I128" s="374">
        <f t="shared" si="37"/>
        <v>0</v>
      </c>
      <c r="J128" s="374">
        <f t="shared" si="37"/>
        <v>27024330</v>
      </c>
      <c r="K128" s="375">
        <f t="shared" si="37"/>
        <v>71794241</v>
      </c>
    </row>
    <row r="129" spans="1:11" ht="15" customHeight="1" x14ac:dyDescent="0.25">
      <c r="A129" s="604" t="s">
        <v>155</v>
      </c>
      <c r="B129" s="618" t="s">
        <v>173</v>
      </c>
      <c r="C129" s="610" t="s">
        <v>174</v>
      </c>
      <c r="D129" s="613">
        <v>1</v>
      </c>
      <c r="E129" s="55" t="s">
        <v>137</v>
      </c>
      <c r="F129" s="108">
        <v>0</v>
      </c>
      <c r="G129" s="108">
        <v>0</v>
      </c>
      <c r="H129" s="108">
        <v>0</v>
      </c>
      <c r="I129" s="108">
        <v>0</v>
      </c>
      <c r="J129" s="115">
        <v>0</v>
      </c>
      <c r="K129" s="267">
        <f>F129+G129+H129+I129+J129</f>
        <v>0</v>
      </c>
    </row>
    <row r="130" spans="1:11" ht="15" customHeight="1" x14ac:dyDescent="0.25">
      <c r="A130" s="604"/>
      <c r="B130" s="618"/>
      <c r="C130" s="610"/>
      <c r="D130" s="613"/>
      <c r="E130" s="50" t="s">
        <v>138</v>
      </c>
      <c r="F130" s="114">
        <v>88355</v>
      </c>
      <c r="G130" s="114">
        <v>11486</v>
      </c>
      <c r="H130" s="114">
        <v>0</v>
      </c>
      <c r="I130" s="114">
        <v>0</v>
      </c>
      <c r="J130" s="268">
        <v>0</v>
      </c>
      <c r="K130" s="264">
        <f>F130+G130+H130+I130+J130</f>
        <v>99841</v>
      </c>
    </row>
    <row r="131" spans="1:11" ht="15" customHeight="1" thickBot="1" x14ac:dyDescent="0.3">
      <c r="A131" s="605"/>
      <c r="B131" s="619"/>
      <c r="C131" s="611"/>
      <c r="D131" s="614"/>
      <c r="E131" s="373" t="s">
        <v>105</v>
      </c>
      <c r="F131" s="374">
        <f t="shared" ref="F131:K131" si="38">SUM(F129:F130)</f>
        <v>88355</v>
      </c>
      <c r="G131" s="374">
        <f t="shared" si="38"/>
        <v>11486</v>
      </c>
      <c r="H131" s="374">
        <f t="shared" si="38"/>
        <v>0</v>
      </c>
      <c r="I131" s="374">
        <f t="shared" si="38"/>
        <v>0</v>
      </c>
      <c r="J131" s="374">
        <f t="shared" si="38"/>
        <v>0</v>
      </c>
      <c r="K131" s="375">
        <f t="shared" si="38"/>
        <v>99841</v>
      </c>
    </row>
    <row r="132" spans="1:11" ht="15" customHeight="1" x14ac:dyDescent="0.25">
      <c r="A132" s="603" t="s">
        <v>156</v>
      </c>
      <c r="B132" s="606" t="s">
        <v>176</v>
      </c>
      <c r="C132" s="609" t="s">
        <v>177</v>
      </c>
      <c r="D132" s="612">
        <v>1</v>
      </c>
      <c r="E132" s="89" t="s">
        <v>137</v>
      </c>
      <c r="F132" s="108">
        <v>0</v>
      </c>
      <c r="G132" s="108">
        <v>0</v>
      </c>
      <c r="H132" s="108">
        <v>0</v>
      </c>
      <c r="I132" s="108">
        <v>19099</v>
      </c>
      <c r="J132" s="115">
        <v>0</v>
      </c>
      <c r="K132" s="267">
        <f>F132+G132+H132+I132+J132</f>
        <v>19099</v>
      </c>
    </row>
    <row r="133" spans="1:11" ht="15" customHeight="1" x14ac:dyDescent="0.25">
      <c r="A133" s="604"/>
      <c r="B133" s="607"/>
      <c r="C133" s="610"/>
      <c r="D133" s="613"/>
      <c r="E133" s="50" t="s">
        <v>138</v>
      </c>
      <c r="F133" s="114">
        <v>217800</v>
      </c>
      <c r="G133" s="114">
        <v>28314</v>
      </c>
      <c r="H133" s="114">
        <v>0</v>
      </c>
      <c r="I133" s="114">
        <v>0</v>
      </c>
      <c r="J133" s="268">
        <v>0</v>
      </c>
      <c r="K133" s="264">
        <f>F133+G133+H133+I133+J133</f>
        <v>246114</v>
      </c>
    </row>
    <row r="134" spans="1:11" ht="15" customHeight="1" thickBot="1" x14ac:dyDescent="0.3">
      <c r="A134" s="605"/>
      <c r="B134" s="608"/>
      <c r="C134" s="611"/>
      <c r="D134" s="614"/>
      <c r="E134" s="373" t="s">
        <v>105</v>
      </c>
      <c r="F134" s="374">
        <f t="shared" ref="F134:K134" si="39">SUM(F132:F133)</f>
        <v>217800</v>
      </c>
      <c r="G134" s="374">
        <f t="shared" si="39"/>
        <v>28314</v>
      </c>
      <c r="H134" s="374">
        <f t="shared" si="39"/>
        <v>0</v>
      </c>
      <c r="I134" s="374">
        <f t="shared" si="39"/>
        <v>19099</v>
      </c>
      <c r="J134" s="374">
        <f t="shared" si="39"/>
        <v>0</v>
      </c>
      <c r="K134" s="375">
        <f t="shared" si="39"/>
        <v>265213</v>
      </c>
    </row>
    <row r="135" spans="1:11" ht="15" customHeight="1" x14ac:dyDescent="0.25">
      <c r="A135" s="603" t="s">
        <v>157</v>
      </c>
      <c r="B135" s="606" t="s">
        <v>179</v>
      </c>
      <c r="C135" s="609" t="s">
        <v>180</v>
      </c>
      <c r="D135" s="612">
        <v>1</v>
      </c>
      <c r="E135" s="89" t="s">
        <v>137</v>
      </c>
      <c r="F135" s="108">
        <v>0</v>
      </c>
      <c r="G135" s="108">
        <v>0</v>
      </c>
      <c r="H135" s="108">
        <v>0</v>
      </c>
      <c r="I135" s="108">
        <v>0</v>
      </c>
      <c r="J135" s="115"/>
      <c r="K135" s="267">
        <f>F135+G135+H135+I135+J135</f>
        <v>0</v>
      </c>
    </row>
    <row r="136" spans="1:11" ht="15" customHeight="1" x14ac:dyDescent="0.25">
      <c r="A136" s="604"/>
      <c r="B136" s="607"/>
      <c r="C136" s="610"/>
      <c r="D136" s="613"/>
      <c r="E136" s="50" t="s">
        <v>138</v>
      </c>
      <c r="F136" s="114">
        <v>89707</v>
      </c>
      <c r="G136" s="114">
        <v>11662</v>
      </c>
      <c r="H136" s="114">
        <v>0</v>
      </c>
      <c r="I136" s="114">
        <v>0</v>
      </c>
      <c r="J136" s="268"/>
      <c r="K136" s="264">
        <f>F136+G136+H136+I136+J136</f>
        <v>101369</v>
      </c>
    </row>
    <row r="137" spans="1:11" ht="15" customHeight="1" thickBot="1" x14ac:dyDescent="0.3">
      <c r="A137" s="605"/>
      <c r="B137" s="608"/>
      <c r="C137" s="611"/>
      <c r="D137" s="614"/>
      <c r="E137" s="373" t="s">
        <v>105</v>
      </c>
      <c r="F137" s="374">
        <f t="shared" ref="F137:K137" si="40">SUM(F135:F136)</f>
        <v>89707</v>
      </c>
      <c r="G137" s="374">
        <f t="shared" si="40"/>
        <v>11662</v>
      </c>
      <c r="H137" s="374">
        <f t="shared" si="40"/>
        <v>0</v>
      </c>
      <c r="I137" s="374">
        <f t="shared" si="40"/>
        <v>0</v>
      </c>
      <c r="J137" s="374">
        <f t="shared" si="40"/>
        <v>0</v>
      </c>
      <c r="K137" s="375">
        <f t="shared" si="40"/>
        <v>101369</v>
      </c>
    </row>
    <row r="138" spans="1:11" ht="15" customHeight="1" x14ac:dyDescent="0.25">
      <c r="A138" s="603" t="s">
        <v>168</v>
      </c>
      <c r="B138" s="607" t="s">
        <v>181</v>
      </c>
      <c r="C138" s="610" t="s">
        <v>182</v>
      </c>
      <c r="D138" s="613">
        <v>1</v>
      </c>
      <c r="E138" s="89" t="s">
        <v>137</v>
      </c>
      <c r="F138" s="108">
        <v>0</v>
      </c>
      <c r="G138" s="108">
        <v>0</v>
      </c>
      <c r="H138" s="108">
        <v>0</v>
      </c>
      <c r="I138" s="108">
        <v>847500</v>
      </c>
      <c r="J138" s="115">
        <v>0</v>
      </c>
      <c r="K138" s="267">
        <f>F138+G138+H138+I138+J138</f>
        <v>847500</v>
      </c>
    </row>
    <row r="139" spans="1:11" ht="15" customHeight="1" x14ac:dyDescent="0.25">
      <c r="A139" s="604"/>
      <c r="B139" s="607"/>
      <c r="C139" s="610"/>
      <c r="D139" s="613"/>
      <c r="E139" s="50" t="s">
        <v>138</v>
      </c>
      <c r="F139" s="114">
        <v>107197</v>
      </c>
      <c r="G139" s="114">
        <v>13936</v>
      </c>
      <c r="H139" s="114">
        <v>0</v>
      </c>
      <c r="I139" s="114">
        <v>0</v>
      </c>
      <c r="J139" s="268">
        <v>0</v>
      </c>
      <c r="K139" s="264">
        <f>F139+G139+H139+I139+J139</f>
        <v>121133</v>
      </c>
    </row>
    <row r="140" spans="1:11" ht="15" customHeight="1" thickBot="1" x14ac:dyDescent="0.3">
      <c r="A140" s="604"/>
      <c r="B140" s="607"/>
      <c r="C140" s="610"/>
      <c r="D140" s="613"/>
      <c r="E140" s="447" t="s">
        <v>105</v>
      </c>
      <c r="F140" s="374">
        <f t="shared" ref="F140:K140" si="41">SUM(F138:F139)</f>
        <v>107197</v>
      </c>
      <c r="G140" s="374">
        <f t="shared" si="41"/>
        <v>13936</v>
      </c>
      <c r="H140" s="374">
        <f t="shared" si="41"/>
        <v>0</v>
      </c>
      <c r="I140" s="374">
        <f t="shared" si="41"/>
        <v>847500</v>
      </c>
      <c r="J140" s="374">
        <f t="shared" si="41"/>
        <v>0</v>
      </c>
      <c r="K140" s="375">
        <f t="shared" si="41"/>
        <v>968633</v>
      </c>
    </row>
    <row r="141" spans="1:11" ht="15" customHeight="1" x14ac:dyDescent="0.25">
      <c r="A141" s="603" t="s">
        <v>169</v>
      </c>
      <c r="B141" s="606" t="s">
        <v>183</v>
      </c>
      <c r="C141" s="609" t="s">
        <v>184</v>
      </c>
      <c r="D141" s="612">
        <v>1</v>
      </c>
      <c r="E141" s="89" t="s">
        <v>137</v>
      </c>
      <c r="F141" s="108">
        <v>0</v>
      </c>
      <c r="G141" s="108">
        <v>0</v>
      </c>
      <c r="H141" s="108">
        <v>0</v>
      </c>
      <c r="I141" s="108">
        <v>535303</v>
      </c>
      <c r="J141" s="115"/>
      <c r="K141" s="267">
        <f>F141+G141+H141+I141+J141</f>
        <v>535303</v>
      </c>
    </row>
    <row r="142" spans="1:11" ht="15" customHeight="1" x14ac:dyDescent="0.25">
      <c r="A142" s="604"/>
      <c r="B142" s="607"/>
      <c r="C142" s="610"/>
      <c r="D142" s="613"/>
      <c r="E142" s="50" t="s">
        <v>138</v>
      </c>
      <c r="F142" s="114">
        <v>129710</v>
      </c>
      <c r="G142" s="114">
        <v>16862</v>
      </c>
      <c r="H142" s="114">
        <v>0</v>
      </c>
      <c r="I142" s="114">
        <v>0</v>
      </c>
      <c r="J142" s="268"/>
      <c r="K142" s="264">
        <f>F142+G142+H142+I142+J142</f>
        <v>146572</v>
      </c>
    </row>
    <row r="143" spans="1:11" ht="15" customHeight="1" thickBot="1" x14ac:dyDescent="0.3">
      <c r="A143" s="605"/>
      <c r="B143" s="608"/>
      <c r="C143" s="611"/>
      <c r="D143" s="614"/>
      <c r="E143" s="373" t="s">
        <v>105</v>
      </c>
      <c r="F143" s="374">
        <f t="shared" ref="F143:K143" si="42">SUM(F141:F142)</f>
        <v>129710</v>
      </c>
      <c r="G143" s="374">
        <f t="shared" si="42"/>
        <v>16862</v>
      </c>
      <c r="H143" s="374">
        <f t="shared" si="42"/>
        <v>0</v>
      </c>
      <c r="I143" s="374">
        <f t="shared" si="42"/>
        <v>535303</v>
      </c>
      <c r="J143" s="374">
        <f t="shared" si="42"/>
        <v>0</v>
      </c>
      <c r="K143" s="375">
        <f t="shared" si="42"/>
        <v>681875</v>
      </c>
    </row>
    <row r="144" spans="1:11" ht="15" customHeight="1" x14ac:dyDescent="0.25">
      <c r="A144" s="603" t="s">
        <v>170</v>
      </c>
      <c r="B144" s="606" t="s">
        <v>186</v>
      </c>
      <c r="C144" s="609" t="s">
        <v>187</v>
      </c>
      <c r="D144" s="612">
        <v>1</v>
      </c>
      <c r="E144" s="89" t="s">
        <v>137</v>
      </c>
      <c r="F144" s="108">
        <v>0</v>
      </c>
      <c r="G144" s="108">
        <v>0</v>
      </c>
      <c r="H144" s="108">
        <v>0</v>
      </c>
      <c r="I144" s="108">
        <v>96055</v>
      </c>
      <c r="J144" s="115">
        <v>0</v>
      </c>
      <c r="K144" s="267">
        <f>F144+G144+H144+I144+J144</f>
        <v>96055</v>
      </c>
    </row>
    <row r="145" spans="1:11" ht="15" customHeight="1" x14ac:dyDescent="0.25">
      <c r="A145" s="604"/>
      <c r="B145" s="607"/>
      <c r="C145" s="610"/>
      <c r="D145" s="613"/>
      <c r="E145" s="50" t="s">
        <v>138</v>
      </c>
      <c r="F145" s="114">
        <v>196425</v>
      </c>
      <c r="G145" s="114">
        <v>25535</v>
      </c>
      <c r="H145" s="114">
        <v>0</v>
      </c>
      <c r="I145" s="114">
        <v>0</v>
      </c>
      <c r="J145" s="268">
        <v>0</v>
      </c>
      <c r="K145" s="264">
        <f>F145+G145+H145+I145+J145</f>
        <v>221960</v>
      </c>
    </row>
    <row r="146" spans="1:11" ht="15" customHeight="1" thickBot="1" x14ac:dyDescent="0.3">
      <c r="A146" s="605"/>
      <c r="B146" s="608"/>
      <c r="C146" s="611"/>
      <c r="D146" s="614"/>
      <c r="E146" s="373" t="s">
        <v>105</v>
      </c>
      <c r="F146" s="374">
        <f t="shared" ref="F146:K146" si="43">SUM(F144:F145)</f>
        <v>196425</v>
      </c>
      <c r="G146" s="374">
        <f t="shared" si="43"/>
        <v>25535</v>
      </c>
      <c r="H146" s="374">
        <f t="shared" si="43"/>
        <v>0</v>
      </c>
      <c r="I146" s="374">
        <f t="shared" si="43"/>
        <v>96055</v>
      </c>
      <c r="J146" s="374">
        <f t="shared" si="43"/>
        <v>0</v>
      </c>
      <c r="K146" s="375">
        <f t="shared" si="43"/>
        <v>318015</v>
      </c>
    </row>
    <row r="147" spans="1:11" ht="15" customHeight="1" x14ac:dyDescent="0.25">
      <c r="A147" s="596" t="s">
        <v>109</v>
      </c>
      <c r="B147" s="597"/>
      <c r="C147" s="597"/>
      <c r="D147" s="598"/>
      <c r="E147" s="302" t="s">
        <v>137</v>
      </c>
      <c r="F147" s="303">
        <f>F84+F87+F90+F93+F96+F99+F102+F105+F108+F111+F114+F117+F120+F123+F126+F129+F132+F135+F138+F141+F144</f>
        <v>225688586</v>
      </c>
      <c r="G147" s="303">
        <f t="shared" ref="G147:K147" si="44">G84+G87+G90+G93+G96+G99+G102+G105+G108+G111+G114+G117+G120+G123+G126+G129+G132+G135+G138+G141+G144</f>
        <v>3042501</v>
      </c>
      <c r="H147" s="303">
        <f t="shared" si="44"/>
        <v>179826407</v>
      </c>
      <c r="I147" s="303">
        <f t="shared" si="44"/>
        <v>1497957</v>
      </c>
      <c r="J147" s="303">
        <f t="shared" si="44"/>
        <v>137047979</v>
      </c>
      <c r="K147" s="304">
        <f t="shared" si="44"/>
        <v>547103430</v>
      </c>
    </row>
    <row r="148" spans="1:11" ht="15" customHeight="1" x14ac:dyDescent="0.25">
      <c r="A148" s="599"/>
      <c r="B148" s="600"/>
      <c r="C148" s="600"/>
      <c r="D148" s="601"/>
      <c r="E148" s="305" t="s">
        <v>138</v>
      </c>
      <c r="F148" s="306">
        <f>F85+F88+F91+F94+F97+F100+F103+F106+F109+F112+F115+F118+F121+F124+F127+F130+F133+F136+F139+F142+F145</f>
        <v>186522412</v>
      </c>
      <c r="G148" s="306">
        <f t="shared" ref="G148:K148" si="45">G85+G88+G91+G94+G97+G100+G103+G106+G109+G112+G115+G118+G121+G124+G127+G130+G133+G136+G139+G142+G145</f>
        <v>26129597</v>
      </c>
      <c r="H148" s="306">
        <f t="shared" si="45"/>
        <v>952381</v>
      </c>
      <c r="I148" s="306">
        <f t="shared" si="45"/>
        <v>0</v>
      </c>
      <c r="J148" s="306">
        <f t="shared" si="45"/>
        <v>1735917</v>
      </c>
      <c r="K148" s="307">
        <f t="shared" si="45"/>
        <v>215340307</v>
      </c>
    </row>
    <row r="149" spans="1:11" ht="15" customHeight="1" thickBot="1" x14ac:dyDescent="0.3">
      <c r="A149" s="567"/>
      <c r="B149" s="568"/>
      <c r="C149" s="568"/>
      <c r="D149" s="602"/>
      <c r="E149" s="308" t="s">
        <v>105</v>
      </c>
      <c r="F149" s="309">
        <f>SUM(F147:F148)</f>
        <v>412210998</v>
      </c>
      <c r="G149" s="309">
        <f>SUM(G147:G148)</f>
        <v>29172098</v>
      </c>
      <c r="H149" s="309">
        <f>SUM(H147:H148)</f>
        <v>180778788</v>
      </c>
      <c r="I149" s="309">
        <f>SUM(I147:I148)</f>
        <v>1497957</v>
      </c>
      <c r="J149" s="309">
        <f t="shared" ref="J149:K149" si="46">SUM(J147:J148)</f>
        <v>138783896</v>
      </c>
      <c r="K149" s="310">
        <f t="shared" si="46"/>
        <v>762443737</v>
      </c>
    </row>
  </sheetData>
  <mergeCells count="196">
    <mergeCell ref="A12:A14"/>
    <mergeCell ref="B12:B14"/>
    <mergeCell ref="C12:C14"/>
    <mergeCell ref="D12:D14"/>
    <mergeCell ref="A15:A17"/>
    <mergeCell ref="B15:B17"/>
    <mergeCell ref="C15:C17"/>
    <mergeCell ref="D15:D17"/>
    <mergeCell ref="E1:K1"/>
    <mergeCell ref="A3:K3"/>
    <mergeCell ref="A4:K4"/>
    <mergeCell ref="A5:K5"/>
    <mergeCell ref="A6:K6"/>
    <mergeCell ref="J7:K7"/>
    <mergeCell ref="A8:A11"/>
    <mergeCell ref="B8:D9"/>
    <mergeCell ref="E8:K8"/>
    <mergeCell ref="E9:K9"/>
    <mergeCell ref="B10:B11"/>
    <mergeCell ref="C10:C11"/>
    <mergeCell ref="D10:D11"/>
    <mergeCell ref="E10:E11"/>
    <mergeCell ref="F10:K10"/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36:A38"/>
    <mergeCell ref="B36:B38"/>
    <mergeCell ref="C36:C38"/>
    <mergeCell ref="D36:D38"/>
    <mergeCell ref="A39:A41"/>
    <mergeCell ref="B39:B41"/>
    <mergeCell ref="C39:C41"/>
    <mergeCell ref="D39:D41"/>
    <mergeCell ref="A30:A32"/>
    <mergeCell ref="B30:B32"/>
    <mergeCell ref="C30:C32"/>
    <mergeCell ref="D30:D32"/>
    <mergeCell ref="A33:A35"/>
    <mergeCell ref="B33:B35"/>
    <mergeCell ref="C33:C35"/>
    <mergeCell ref="D33:D35"/>
    <mergeCell ref="A48:A50"/>
    <mergeCell ref="B48:B50"/>
    <mergeCell ref="C48:C50"/>
    <mergeCell ref="D48:D50"/>
    <mergeCell ref="A51:A53"/>
    <mergeCell ref="B51:B53"/>
    <mergeCell ref="C51:C53"/>
    <mergeCell ref="D51:D53"/>
    <mergeCell ref="A42:A44"/>
    <mergeCell ref="B42:B44"/>
    <mergeCell ref="C42:C44"/>
    <mergeCell ref="D42:D44"/>
    <mergeCell ref="A45:A47"/>
    <mergeCell ref="B45:B47"/>
    <mergeCell ref="C45:C47"/>
    <mergeCell ref="D45:D47"/>
    <mergeCell ref="A60:A62"/>
    <mergeCell ref="B60:B62"/>
    <mergeCell ref="C60:C62"/>
    <mergeCell ref="D60:D62"/>
    <mergeCell ref="A63:A65"/>
    <mergeCell ref="B63:B65"/>
    <mergeCell ref="C63:C65"/>
    <mergeCell ref="D63:D65"/>
    <mergeCell ref="A54:A56"/>
    <mergeCell ref="B54:B56"/>
    <mergeCell ref="C54:C56"/>
    <mergeCell ref="D54:D56"/>
    <mergeCell ref="A57:A59"/>
    <mergeCell ref="B57:B59"/>
    <mergeCell ref="C57:C59"/>
    <mergeCell ref="D57:D59"/>
    <mergeCell ref="A72:A74"/>
    <mergeCell ref="B72:B74"/>
    <mergeCell ref="C72:C74"/>
    <mergeCell ref="D72:D74"/>
    <mergeCell ref="A66:A68"/>
    <mergeCell ref="B66:B68"/>
    <mergeCell ref="C66:C68"/>
    <mergeCell ref="D66:D68"/>
    <mergeCell ref="A69:A71"/>
    <mergeCell ref="B69:B71"/>
    <mergeCell ref="C69:C71"/>
    <mergeCell ref="D69:D71"/>
    <mergeCell ref="A75:D77"/>
    <mergeCell ref="A78:G78"/>
    <mergeCell ref="A84:A86"/>
    <mergeCell ref="B84:B86"/>
    <mergeCell ref="C84:C86"/>
    <mergeCell ref="D84:D86"/>
    <mergeCell ref="A87:A89"/>
    <mergeCell ref="B87:B89"/>
    <mergeCell ref="C87:C89"/>
    <mergeCell ref="D87:D89"/>
    <mergeCell ref="J79:K79"/>
    <mergeCell ref="A80:A83"/>
    <mergeCell ref="B80:D81"/>
    <mergeCell ref="E80:K80"/>
    <mergeCell ref="E81:K81"/>
    <mergeCell ref="B82:B83"/>
    <mergeCell ref="C82:C83"/>
    <mergeCell ref="D82:D83"/>
    <mergeCell ref="E82:E83"/>
    <mergeCell ref="F82:K82"/>
    <mergeCell ref="A96:A98"/>
    <mergeCell ref="B96:B98"/>
    <mergeCell ref="C96:C98"/>
    <mergeCell ref="D96:D98"/>
    <mergeCell ref="A99:A101"/>
    <mergeCell ref="B99:B101"/>
    <mergeCell ref="C99:C101"/>
    <mergeCell ref="D99:D101"/>
    <mergeCell ref="A90:A92"/>
    <mergeCell ref="B90:B92"/>
    <mergeCell ref="C90:C92"/>
    <mergeCell ref="D90:D92"/>
    <mergeCell ref="A93:A95"/>
    <mergeCell ref="B93:B95"/>
    <mergeCell ref="C93:C95"/>
    <mergeCell ref="D93:D95"/>
    <mergeCell ref="A108:A110"/>
    <mergeCell ref="B108:B110"/>
    <mergeCell ref="C108:C110"/>
    <mergeCell ref="D108:D110"/>
    <mergeCell ref="A111:A113"/>
    <mergeCell ref="B111:B113"/>
    <mergeCell ref="C111:C113"/>
    <mergeCell ref="D111:D113"/>
    <mergeCell ref="A102:A104"/>
    <mergeCell ref="B102:B104"/>
    <mergeCell ref="C102:C104"/>
    <mergeCell ref="D102:D104"/>
    <mergeCell ref="A105:A107"/>
    <mergeCell ref="B105:B107"/>
    <mergeCell ref="C105:C107"/>
    <mergeCell ref="D105:D107"/>
    <mergeCell ref="A120:A122"/>
    <mergeCell ref="B120:B122"/>
    <mergeCell ref="C120:C122"/>
    <mergeCell ref="D120:D122"/>
    <mergeCell ref="A123:A125"/>
    <mergeCell ref="B123:B125"/>
    <mergeCell ref="C123:C125"/>
    <mergeCell ref="D123:D125"/>
    <mergeCell ref="A114:A116"/>
    <mergeCell ref="B114:B116"/>
    <mergeCell ref="C114:C116"/>
    <mergeCell ref="D114:D116"/>
    <mergeCell ref="A117:A119"/>
    <mergeCell ref="B117:B119"/>
    <mergeCell ref="C117:C119"/>
    <mergeCell ref="D117:D119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A147:D149"/>
    <mergeCell ref="A144:A146"/>
    <mergeCell ref="B144:B146"/>
    <mergeCell ref="C144:C146"/>
    <mergeCell ref="D144:D146"/>
    <mergeCell ref="A138:A140"/>
    <mergeCell ref="B138:B140"/>
    <mergeCell ref="C138:C140"/>
    <mergeCell ref="D138:D140"/>
    <mergeCell ref="A141:A143"/>
    <mergeCell ref="B141:B143"/>
    <mergeCell ref="C141:C143"/>
    <mergeCell ref="D141:D143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84" orientation="landscape" r:id="rId1"/>
  <rowBreaks count="3" manualBreakCount="3">
    <brk id="41" max="10" man="1"/>
    <brk id="78" max="10" man="1"/>
    <brk id="11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H20"/>
  <sheetViews>
    <sheetView zoomScaleNormal="100" workbookViewId="0">
      <selection activeCell="E28" sqref="E28"/>
    </sheetView>
  </sheetViews>
  <sheetFormatPr defaultRowHeight="15.75" x14ac:dyDescent="0.25"/>
  <cols>
    <col min="1" max="1" width="5.42578125" style="63" customWidth="1"/>
    <col min="2" max="2" width="90.28515625" style="75" customWidth="1"/>
    <col min="3" max="4" width="12.42578125" style="66" customWidth="1"/>
    <col min="5" max="5" width="11.5703125" style="64" customWidth="1"/>
    <col min="6" max="6" width="10.5703125" style="64" customWidth="1"/>
    <col min="7" max="249" width="9.140625" style="64"/>
    <col min="250" max="250" width="5.42578125" style="64" customWidth="1"/>
    <col min="251" max="251" width="90.28515625" style="64" customWidth="1"/>
    <col min="252" max="253" width="12.42578125" style="64" customWidth="1"/>
    <col min="254" max="254" width="11.5703125" style="64" customWidth="1"/>
    <col min="255" max="255" width="12.7109375" style="64" customWidth="1"/>
    <col min="256" max="505" width="9.140625" style="64"/>
    <col min="506" max="506" width="5.42578125" style="64" customWidth="1"/>
    <col min="507" max="507" width="90.28515625" style="64" customWidth="1"/>
    <col min="508" max="509" width="12.42578125" style="64" customWidth="1"/>
    <col min="510" max="510" width="11.5703125" style="64" customWidth="1"/>
    <col min="511" max="511" width="12.7109375" style="64" customWidth="1"/>
    <col min="512" max="761" width="9.140625" style="64"/>
    <col min="762" max="762" width="5.42578125" style="64" customWidth="1"/>
    <col min="763" max="763" width="90.28515625" style="64" customWidth="1"/>
    <col min="764" max="765" width="12.42578125" style="64" customWidth="1"/>
    <col min="766" max="766" width="11.5703125" style="64" customWidth="1"/>
    <col min="767" max="767" width="12.7109375" style="64" customWidth="1"/>
    <col min="768" max="1017" width="9.140625" style="64"/>
    <col min="1018" max="1018" width="5.42578125" style="64" customWidth="1"/>
    <col min="1019" max="1019" width="90.28515625" style="64" customWidth="1"/>
    <col min="1020" max="1021" width="12.42578125" style="64" customWidth="1"/>
    <col min="1022" max="1022" width="11.5703125" style="64" customWidth="1"/>
    <col min="1023" max="1023" width="12.7109375" style="64" customWidth="1"/>
    <col min="1024" max="1273" width="9.140625" style="64"/>
    <col min="1274" max="1274" width="5.42578125" style="64" customWidth="1"/>
    <col min="1275" max="1275" width="90.28515625" style="64" customWidth="1"/>
    <col min="1276" max="1277" width="12.42578125" style="64" customWidth="1"/>
    <col min="1278" max="1278" width="11.5703125" style="64" customWidth="1"/>
    <col min="1279" max="1279" width="12.7109375" style="64" customWidth="1"/>
    <col min="1280" max="1529" width="9.140625" style="64"/>
    <col min="1530" max="1530" width="5.42578125" style="64" customWidth="1"/>
    <col min="1531" max="1531" width="90.28515625" style="64" customWidth="1"/>
    <col min="1532" max="1533" width="12.42578125" style="64" customWidth="1"/>
    <col min="1534" max="1534" width="11.5703125" style="64" customWidth="1"/>
    <col min="1535" max="1535" width="12.7109375" style="64" customWidth="1"/>
    <col min="1536" max="1785" width="9.140625" style="64"/>
    <col min="1786" max="1786" width="5.42578125" style="64" customWidth="1"/>
    <col min="1787" max="1787" width="90.28515625" style="64" customWidth="1"/>
    <col min="1788" max="1789" width="12.42578125" style="64" customWidth="1"/>
    <col min="1790" max="1790" width="11.5703125" style="64" customWidth="1"/>
    <col min="1791" max="1791" width="12.7109375" style="64" customWidth="1"/>
    <col min="1792" max="2041" width="9.140625" style="64"/>
    <col min="2042" max="2042" width="5.42578125" style="64" customWidth="1"/>
    <col min="2043" max="2043" width="90.28515625" style="64" customWidth="1"/>
    <col min="2044" max="2045" width="12.42578125" style="64" customWidth="1"/>
    <col min="2046" max="2046" width="11.5703125" style="64" customWidth="1"/>
    <col min="2047" max="2047" width="12.7109375" style="64" customWidth="1"/>
    <col min="2048" max="2297" width="9.140625" style="64"/>
    <col min="2298" max="2298" width="5.42578125" style="64" customWidth="1"/>
    <col min="2299" max="2299" width="90.28515625" style="64" customWidth="1"/>
    <col min="2300" max="2301" width="12.42578125" style="64" customWidth="1"/>
    <col min="2302" max="2302" width="11.5703125" style="64" customWidth="1"/>
    <col min="2303" max="2303" width="12.7109375" style="64" customWidth="1"/>
    <col min="2304" max="2553" width="9.140625" style="64"/>
    <col min="2554" max="2554" width="5.42578125" style="64" customWidth="1"/>
    <col min="2555" max="2555" width="90.28515625" style="64" customWidth="1"/>
    <col min="2556" max="2557" width="12.42578125" style="64" customWidth="1"/>
    <col min="2558" max="2558" width="11.5703125" style="64" customWidth="1"/>
    <col min="2559" max="2559" width="12.7109375" style="64" customWidth="1"/>
    <col min="2560" max="2809" width="9.140625" style="64"/>
    <col min="2810" max="2810" width="5.42578125" style="64" customWidth="1"/>
    <col min="2811" max="2811" width="90.28515625" style="64" customWidth="1"/>
    <col min="2812" max="2813" width="12.42578125" style="64" customWidth="1"/>
    <col min="2814" max="2814" width="11.5703125" style="64" customWidth="1"/>
    <col min="2815" max="2815" width="12.7109375" style="64" customWidth="1"/>
    <col min="2816" max="3065" width="9.140625" style="64"/>
    <col min="3066" max="3066" width="5.42578125" style="64" customWidth="1"/>
    <col min="3067" max="3067" width="90.28515625" style="64" customWidth="1"/>
    <col min="3068" max="3069" width="12.42578125" style="64" customWidth="1"/>
    <col min="3070" max="3070" width="11.5703125" style="64" customWidth="1"/>
    <col min="3071" max="3071" width="12.7109375" style="64" customWidth="1"/>
    <col min="3072" max="3321" width="9.140625" style="64"/>
    <col min="3322" max="3322" width="5.42578125" style="64" customWidth="1"/>
    <col min="3323" max="3323" width="90.28515625" style="64" customWidth="1"/>
    <col min="3324" max="3325" width="12.42578125" style="64" customWidth="1"/>
    <col min="3326" max="3326" width="11.5703125" style="64" customWidth="1"/>
    <col min="3327" max="3327" width="12.7109375" style="64" customWidth="1"/>
    <col min="3328" max="3577" width="9.140625" style="64"/>
    <col min="3578" max="3578" width="5.42578125" style="64" customWidth="1"/>
    <col min="3579" max="3579" width="90.28515625" style="64" customWidth="1"/>
    <col min="3580" max="3581" width="12.42578125" style="64" customWidth="1"/>
    <col min="3582" max="3582" width="11.5703125" style="64" customWidth="1"/>
    <col min="3583" max="3583" width="12.7109375" style="64" customWidth="1"/>
    <col min="3584" max="3833" width="9.140625" style="64"/>
    <col min="3834" max="3834" width="5.42578125" style="64" customWidth="1"/>
    <col min="3835" max="3835" width="90.28515625" style="64" customWidth="1"/>
    <col min="3836" max="3837" width="12.42578125" style="64" customWidth="1"/>
    <col min="3838" max="3838" width="11.5703125" style="64" customWidth="1"/>
    <col min="3839" max="3839" width="12.7109375" style="64" customWidth="1"/>
    <col min="3840" max="4089" width="9.140625" style="64"/>
    <col min="4090" max="4090" width="5.42578125" style="64" customWidth="1"/>
    <col min="4091" max="4091" width="90.28515625" style="64" customWidth="1"/>
    <col min="4092" max="4093" width="12.42578125" style="64" customWidth="1"/>
    <col min="4094" max="4094" width="11.5703125" style="64" customWidth="1"/>
    <col min="4095" max="4095" width="12.7109375" style="64" customWidth="1"/>
    <col min="4096" max="4345" width="9.140625" style="64"/>
    <col min="4346" max="4346" width="5.42578125" style="64" customWidth="1"/>
    <col min="4347" max="4347" width="90.28515625" style="64" customWidth="1"/>
    <col min="4348" max="4349" width="12.42578125" style="64" customWidth="1"/>
    <col min="4350" max="4350" width="11.5703125" style="64" customWidth="1"/>
    <col min="4351" max="4351" width="12.7109375" style="64" customWidth="1"/>
    <col min="4352" max="4601" width="9.140625" style="64"/>
    <col min="4602" max="4602" width="5.42578125" style="64" customWidth="1"/>
    <col min="4603" max="4603" width="90.28515625" style="64" customWidth="1"/>
    <col min="4604" max="4605" width="12.42578125" style="64" customWidth="1"/>
    <col min="4606" max="4606" width="11.5703125" style="64" customWidth="1"/>
    <col min="4607" max="4607" width="12.7109375" style="64" customWidth="1"/>
    <col min="4608" max="4857" width="9.140625" style="64"/>
    <col min="4858" max="4858" width="5.42578125" style="64" customWidth="1"/>
    <col min="4859" max="4859" width="90.28515625" style="64" customWidth="1"/>
    <col min="4860" max="4861" width="12.42578125" style="64" customWidth="1"/>
    <col min="4862" max="4862" width="11.5703125" style="64" customWidth="1"/>
    <col min="4863" max="4863" width="12.7109375" style="64" customWidth="1"/>
    <col min="4864" max="5113" width="9.140625" style="64"/>
    <col min="5114" max="5114" width="5.42578125" style="64" customWidth="1"/>
    <col min="5115" max="5115" width="90.28515625" style="64" customWidth="1"/>
    <col min="5116" max="5117" width="12.42578125" style="64" customWidth="1"/>
    <col min="5118" max="5118" width="11.5703125" style="64" customWidth="1"/>
    <col min="5119" max="5119" width="12.7109375" style="64" customWidth="1"/>
    <col min="5120" max="5369" width="9.140625" style="64"/>
    <col min="5370" max="5370" width="5.42578125" style="64" customWidth="1"/>
    <col min="5371" max="5371" width="90.28515625" style="64" customWidth="1"/>
    <col min="5372" max="5373" width="12.42578125" style="64" customWidth="1"/>
    <col min="5374" max="5374" width="11.5703125" style="64" customWidth="1"/>
    <col min="5375" max="5375" width="12.7109375" style="64" customWidth="1"/>
    <col min="5376" max="5625" width="9.140625" style="64"/>
    <col min="5626" max="5626" width="5.42578125" style="64" customWidth="1"/>
    <col min="5627" max="5627" width="90.28515625" style="64" customWidth="1"/>
    <col min="5628" max="5629" width="12.42578125" style="64" customWidth="1"/>
    <col min="5630" max="5630" width="11.5703125" style="64" customWidth="1"/>
    <col min="5631" max="5631" width="12.7109375" style="64" customWidth="1"/>
    <col min="5632" max="5881" width="9.140625" style="64"/>
    <col min="5882" max="5882" width="5.42578125" style="64" customWidth="1"/>
    <col min="5883" max="5883" width="90.28515625" style="64" customWidth="1"/>
    <col min="5884" max="5885" width="12.42578125" style="64" customWidth="1"/>
    <col min="5886" max="5886" width="11.5703125" style="64" customWidth="1"/>
    <col min="5887" max="5887" width="12.7109375" style="64" customWidth="1"/>
    <col min="5888" max="6137" width="9.140625" style="64"/>
    <col min="6138" max="6138" width="5.42578125" style="64" customWidth="1"/>
    <col min="6139" max="6139" width="90.28515625" style="64" customWidth="1"/>
    <col min="6140" max="6141" width="12.42578125" style="64" customWidth="1"/>
    <col min="6142" max="6142" width="11.5703125" style="64" customWidth="1"/>
    <col min="6143" max="6143" width="12.7109375" style="64" customWidth="1"/>
    <col min="6144" max="6393" width="9.140625" style="64"/>
    <col min="6394" max="6394" width="5.42578125" style="64" customWidth="1"/>
    <col min="6395" max="6395" width="90.28515625" style="64" customWidth="1"/>
    <col min="6396" max="6397" width="12.42578125" style="64" customWidth="1"/>
    <col min="6398" max="6398" width="11.5703125" style="64" customWidth="1"/>
    <col min="6399" max="6399" width="12.7109375" style="64" customWidth="1"/>
    <col min="6400" max="6649" width="9.140625" style="64"/>
    <col min="6650" max="6650" width="5.42578125" style="64" customWidth="1"/>
    <col min="6651" max="6651" width="90.28515625" style="64" customWidth="1"/>
    <col min="6652" max="6653" width="12.42578125" style="64" customWidth="1"/>
    <col min="6654" max="6654" width="11.5703125" style="64" customWidth="1"/>
    <col min="6655" max="6655" width="12.7109375" style="64" customWidth="1"/>
    <col min="6656" max="6905" width="9.140625" style="64"/>
    <col min="6906" max="6906" width="5.42578125" style="64" customWidth="1"/>
    <col min="6907" max="6907" width="90.28515625" style="64" customWidth="1"/>
    <col min="6908" max="6909" width="12.42578125" style="64" customWidth="1"/>
    <col min="6910" max="6910" width="11.5703125" style="64" customWidth="1"/>
    <col min="6911" max="6911" width="12.7109375" style="64" customWidth="1"/>
    <col min="6912" max="7161" width="9.140625" style="64"/>
    <col min="7162" max="7162" width="5.42578125" style="64" customWidth="1"/>
    <col min="7163" max="7163" width="90.28515625" style="64" customWidth="1"/>
    <col min="7164" max="7165" width="12.42578125" style="64" customWidth="1"/>
    <col min="7166" max="7166" width="11.5703125" style="64" customWidth="1"/>
    <col min="7167" max="7167" width="12.7109375" style="64" customWidth="1"/>
    <col min="7168" max="7417" width="9.140625" style="64"/>
    <col min="7418" max="7418" width="5.42578125" style="64" customWidth="1"/>
    <col min="7419" max="7419" width="90.28515625" style="64" customWidth="1"/>
    <col min="7420" max="7421" width="12.42578125" style="64" customWidth="1"/>
    <col min="7422" max="7422" width="11.5703125" style="64" customWidth="1"/>
    <col min="7423" max="7423" width="12.7109375" style="64" customWidth="1"/>
    <col min="7424" max="7673" width="9.140625" style="64"/>
    <col min="7674" max="7674" width="5.42578125" style="64" customWidth="1"/>
    <col min="7675" max="7675" width="90.28515625" style="64" customWidth="1"/>
    <col min="7676" max="7677" width="12.42578125" style="64" customWidth="1"/>
    <col min="7678" max="7678" width="11.5703125" style="64" customWidth="1"/>
    <col min="7679" max="7679" width="12.7109375" style="64" customWidth="1"/>
    <col min="7680" max="7929" width="9.140625" style="64"/>
    <col min="7930" max="7930" width="5.42578125" style="64" customWidth="1"/>
    <col min="7931" max="7931" width="90.28515625" style="64" customWidth="1"/>
    <col min="7932" max="7933" width="12.42578125" style="64" customWidth="1"/>
    <col min="7934" max="7934" width="11.5703125" style="64" customWidth="1"/>
    <col min="7935" max="7935" width="12.7109375" style="64" customWidth="1"/>
    <col min="7936" max="8185" width="9.140625" style="64"/>
    <col min="8186" max="8186" width="5.42578125" style="64" customWidth="1"/>
    <col min="8187" max="8187" width="90.28515625" style="64" customWidth="1"/>
    <col min="8188" max="8189" width="12.42578125" style="64" customWidth="1"/>
    <col min="8190" max="8190" width="11.5703125" style="64" customWidth="1"/>
    <col min="8191" max="8191" width="12.7109375" style="64" customWidth="1"/>
    <col min="8192" max="8441" width="9.140625" style="64"/>
    <col min="8442" max="8442" width="5.42578125" style="64" customWidth="1"/>
    <col min="8443" max="8443" width="90.28515625" style="64" customWidth="1"/>
    <col min="8444" max="8445" width="12.42578125" style="64" customWidth="1"/>
    <col min="8446" max="8446" width="11.5703125" style="64" customWidth="1"/>
    <col min="8447" max="8447" width="12.7109375" style="64" customWidth="1"/>
    <col min="8448" max="8697" width="9.140625" style="64"/>
    <col min="8698" max="8698" width="5.42578125" style="64" customWidth="1"/>
    <col min="8699" max="8699" width="90.28515625" style="64" customWidth="1"/>
    <col min="8700" max="8701" width="12.42578125" style="64" customWidth="1"/>
    <col min="8702" max="8702" width="11.5703125" style="64" customWidth="1"/>
    <col min="8703" max="8703" width="12.7109375" style="64" customWidth="1"/>
    <col min="8704" max="8953" width="9.140625" style="64"/>
    <col min="8954" max="8954" width="5.42578125" style="64" customWidth="1"/>
    <col min="8955" max="8955" width="90.28515625" style="64" customWidth="1"/>
    <col min="8956" max="8957" width="12.42578125" style="64" customWidth="1"/>
    <col min="8958" max="8958" width="11.5703125" style="64" customWidth="1"/>
    <col min="8959" max="8959" width="12.7109375" style="64" customWidth="1"/>
    <col min="8960" max="9209" width="9.140625" style="64"/>
    <col min="9210" max="9210" width="5.42578125" style="64" customWidth="1"/>
    <col min="9211" max="9211" width="90.28515625" style="64" customWidth="1"/>
    <col min="9212" max="9213" width="12.42578125" style="64" customWidth="1"/>
    <col min="9214" max="9214" width="11.5703125" style="64" customWidth="1"/>
    <col min="9215" max="9215" width="12.7109375" style="64" customWidth="1"/>
    <col min="9216" max="9465" width="9.140625" style="64"/>
    <col min="9466" max="9466" width="5.42578125" style="64" customWidth="1"/>
    <col min="9467" max="9467" width="90.28515625" style="64" customWidth="1"/>
    <col min="9468" max="9469" width="12.42578125" style="64" customWidth="1"/>
    <col min="9470" max="9470" width="11.5703125" style="64" customWidth="1"/>
    <col min="9471" max="9471" width="12.7109375" style="64" customWidth="1"/>
    <col min="9472" max="9721" width="9.140625" style="64"/>
    <col min="9722" max="9722" width="5.42578125" style="64" customWidth="1"/>
    <col min="9723" max="9723" width="90.28515625" style="64" customWidth="1"/>
    <col min="9724" max="9725" width="12.42578125" style="64" customWidth="1"/>
    <col min="9726" max="9726" width="11.5703125" style="64" customWidth="1"/>
    <col min="9727" max="9727" width="12.7109375" style="64" customWidth="1"/>
    <col min="9728" max="9977" width="9.140625" style="64"/>
    <col min="9978" max="9978" width="5.42578125" style="64" customWidth="1"/>
    <col min="9979" max="9979" width="90.28515625" style="64" customWidth="1"/>
    <col min="9980" max="9981" width="12.42578125" style="64" customWidth="1"/>
    <col min="9982" max="9982" width="11.5703125" style="64" customWidth="1"/>
    <col min="9983" max="9983" width="12.7109375" style="64" customWidth="1"/>
    <col min="9984" max="10233" width="9.140625" style="64"/>
    <col min="10234" max="10234" width="5.42578125" style="64" customWidth="1"/>
    <col min="10235" max="10235" width="90.28515625" style="64" customWidth="1"/>
    <col min="10236" max="10237" width="12.42578125" style="64" customWidth="1"/>
    <col min="10238" max="10238" width="11.5703125" style="64" customWidth="1"/>
    <col min="10239" max="10239" width="12.7109375" style="64" customWidth="1"/>
    <col min="10240" max="10489" width="9.140625" style="64"/>
    <col min="10490" max="10490" width="5.42578125" style="64" customWidth="1"/>
    <col min="10491" max="10491" width="90.28515625" style="64" customWidth="1"/>
    <col min="10492" max="10493" width="12.42578125" style="64" customWidth="1"/>
    <col min="10494" max="10494" width="11.5703125" style="64" customWidth="1"/>
    <col min="10495" max="10495" width="12.7109375" style="64" customWidth="1"/>
    <col min="10496" max="10745" width="9.140625" style="64"/>
    <col min="10746" max="10746" width="5.42578125" style="64" customWidth="1"/>
    <col min="10747" max="10747" width="90.28515625" style="64" customWidth="1"/>
    <col min="10748" max="10749" width="12.42578125" style="64" customWidth="1"/>
    <col min="10750" max="10750" width="11.5703125" style="64" customWidth="1"/>
    <col min="10751" max="10751" width="12.7109375" style="64" customWidth="1"/>
    <col min="10752" max="11001" width="9.140625" style="64"/>
    <col min="11002" max="11002" width="5.42578125" style="64" customWidth="1"/>
    <col min="11003" max="11003" width="90.28515625" style="64" customWidth="1"/>
    <col min="11004" max="11005" width="12.42578125" style="64" customWidth="1"/>
    <col min="11006" max="11006" width="11.5703125" style="64" customWidth="1"/>
    <col min="11007" max="11007" width="12.7109375" style="64" customWidth="1"/>
    <col min="11008" max="11257" width="9.140625" style="64"/>
    <col min="11258" max="11258" width="5.42578125" style="64" customWidth="1"/>
    <col min="11259" max="11259" width="90.28515625" style="64" customWidth="1"/>
    <col min="11260" max="11261" width="12.42578125" style="64" customWidth="1"/>
    <col min="11262" max="11262" width="11.5703125" style="64" customWidth="1"/>
    <col min="11263" max="11263" width="12.7109375" style="64" customWidth="1"/>
    <col min="11264" max="11513" width="9.140625" style="64"/>
    <col min="11514" max="11514" width="5.42578125" style="64" customWidth="1"/>
    <col min="11515" max="11515" width="90.28515625" style="64" customWidth="1"/>
    <col min="11516" max="11517" width="12.42578125" style="64" customWidth="1"/>
    <col min="11518" max="11518" width="11.5703125" style="64" customWidth="1"/>
    <col min="11519" max="11519" width="12.7109375" style="64" customWidth="1"/>
    <col min="11520" max="11769" width="9.140625" style="64"/>
    <col min="11770" max="11770" width="5.42578125" style="64" customWidth="1"/>
    <col min="11771" max="11771" width="90.28515625" style="64" customWidth="1"/>
    <col min="11772" max="11773" width="12.42578125" style="64" customWidth="1"/>
    <col min="11774" max="11774" width="11.5703125" style="64" customWidth="1"/>
    <col min="11775" max="11775" width="12.7109375" style="64" customWidth="1"/>
    <col min="11776" max="12025" width="9.140625" style="64"/>
    <col min="12026" max="12026" width="5.42578125" style="64" customWidth="1"/>
    <col min="12027" max="12027" width="90.28515625" style="64" customWidth="1"/>
    <col min="12028" max="12029" width="12.42578125" style="64" customWidth="1"/>
    <col min="12030" max="12030" width="11.5703125" style="64" customWidth="1"/>
    <col min="12031" max="12031" width="12.7109375" style="64" customWidth="1"/>
    <col min="12032" max="12281" width="9.140625" style="64"/>
    <col min="12282" max="12282" width="5.42578125" style="64" customWidth="1"/>
    <col min="12283" max="12283" width="90.28515625" style="64" customWidth="1"/>
    <col min="12284" max="12285" width="12.42578125" style="64" customWidth="1"/>
    <col min="12286" max="12286" width="11.5703125" style="64" customWidth="1"/>
    <col min="12287" max="12287" width="12.7109375" style="64" customWidth="1"/>
    <col min="12288" max="12537" width="9.140625" style="64"/>
    <col min="12538" max="12538" width="5.42578125" style="64" customWidth="1"/>
    <col min="12539" max="12539" width="90.28515625" style="64" customWidth="1"/>
    <col min="12540" max="12541" width="12.42578125" style="64" customWidth="1"/>
    <col min="12542" max="12542" width="11.5703125" style="64" customWidth="1"/>
    <col min="12543" max="12543" width="12.7109375" style="64" customWidth="1"/>
    <col min="12544" max="12793" width="9.140625" style="64"/>
    <col min="12794" max="12794" width="5.42578125" style="64" customWidth="1"/>
    <col min="12795" max="12795" width="90.28515625" style="64" customWidth="1"/>
    <col min="12796" max="12797" width="12.42578125" style="64" customWidth="1"/>
    <col min="12798" max="12798" width="11.5703125" style="64" customWidth="1"/>
    <col min="12799" max="12799" width="12.7109375" style="64" customWidth="1"/>
    <col min="12800" max="13049" width="9.140625" style="64"/>
    <col min="13050" max="13050" width="5.42578125" style="64" customWidth="1"/>
    <col min="13051" max="13051" width="90.28515625" style="64" customWidth="1"/>
    <col min="13052" max="13053" width="12.42578125" style="64" customWidth="1"/>
    <col min="13054" max="13054" width="11.5703125" style="64" customWidth="1"/>
    <col min="13055" max="13055" width="12.7109375" style="64" customWidth="1"/>
    <col min="13056" max="13305" width="9.140625" style="64"/>
    <col min="13306" max="13306" width="5.42578125" style="64" customWidth="1"/>
    <col min="13307" max="13307" width="90.28515625" style="64" customWidth="1"/>
    <col min="13308" max="13309" width="12.42578125" style="64" customWidth="1"/>
    <col min="13310" max="13310" width="11.5703125" style="64" customWidth="1"/>
    <col min="13311" max="13311" width="12.7109375" style="64" customWidth="1"/>
    <col min="13312" max="13561" width="9.140625" style="64"/>
    <col min="13562" max="13562" width="5.42578125" style="64" customWidth="1"/>
    <col min="13563" max="13563" width="90.28515625" style="64" customWidth="1"/>
    <col min="13564" max="13565" width="12.42578125" style="64" customWidth="1"/>
    <col min="13566" max="13566" width="11.5703125" style="64" customWidth="1"/>
    <col min="13567" max="13567" width="12.7109375" style="64" customWidth="1"/>
    <col min="13568" max="13817" width="9.140625" style="64"/>
    <col min="13818" max="13818" width="5.42578125" style="64" customWidth="1"/>
    <col min="13819" max="13819" width="90.28515625" style="64" customWidth="1"/>
    <col min="13820" max="13821" width="12.42578125" style="64" customWidth="1"/>
    <col min="13822" max="13822" width="11.5703125" style="64" customWidth="1"/>
    <col min="13823" max="13823" width="12.7109375" style="64" customWidth="1"/>
    <col min="13824" max="14073" width="9.140625" style="64"/>
    <col min="14074" max="14074" width="5.42578125" style="64" customWidth="1"/>
    <col min="14075" max="14075" width="90.28515625" style="64" customWidth="1"/>
    <col min="14076" max="14077" width="12.42578125" style="64" customWidth="1"/>
    <col min="14078" max="14078" width="11.5703125" style="64" customWidth="1"/>
    <col min="14079" max="14079" width="12.7109375" style="64" customWidth="1"/>
    <col min="14080" max="14329" width="9.140625" style="64"/>
    <col min="14330" max="14330" width="5.42578125" style="64" customWidth="1"/>
    <col min="14331" max="14331" width="90.28515625" style="64" customWidth="1"/>
    <col min="14332" max="14333" width="12.42578125" style="64" customWidth="1"/>
    <col min="14334" max="14334" width="11.5703125" style="64" customWidth="1"/>
    <col min="14335" max="14335" width="12.7109375" style="64" customWidth="1"/>
    <col min="14336" max="14585" width="9.140625" style="64"/>
    <col min="14586" max="14586" width="5.42578125" style="64" customWidth="1"/>
    <col min="14587" max="14587" width="90.28515625" style="64" customWidth="1"/>
    <col min="14588" max="14589" width="12.42578125" style="64" customWidth="1"/>
    <col min="14590" max="14590" width="11.5703125" style="64" customWidth="1"/>
    <col min="14591" max="14591" width="12.7109375" style="64" customWidth="1"/>
    <col min="14592" max="14841" width="9.140625" style="64"/>
    <col min="14842" max="14842" width="5.42578125" style="64" customWidth="1"/>
    <col min="14843" max="14843" width="90.28515625" style="64" customWidth="1"/>
    <col min="14844" max="14845" width="12.42578125" style="64" customWidth="1"/>
    <col min="14846" max="14846" width="11.5703125" style="64" customWidth="1"/>
    <col min="14847" max="14847" width="12.7109375" style="64" customWidth="1"/>
    <col min="14848" max="15097" width="9.140625" style="64"/>
    <col min="15098" max="15098" width="5.42578125" style="64" customWidth="1"/>
    <col min="15099" max="15099" width="90.28515625" style="64" customWidth="1"/>
    <col min="15100" max="15101" width="12.42578125" style="64" customWidth="1"/>
    <col min="15102" max="15102" width="11.5703125" style="64" customWidth="1"/>
    <col min="15103" max="15103" width="12.7109375" style="64" customWidth="1"/>
    <col min="15104" max="15353" width="9.140625" style="64"/>
    <col min="15354" max="15354" width="5.42578125" style="64" customWidth="1"/>
    <col min="15355" max="15355" width="90.28515625" style="64" customWidth="1"/>
    <col min="15356" max="15357" width="12.42578125" style="64" customWidth="1"/>
    <col min="15358" max="15358" width="11.5703125" style="64" customWidth="1"/>
    <col min="15359" max="15359" width="12.7109375" style="64" customWidth="1"/>
    <col min="15360" max="15609" width="9.140625" style="64"/>
    <col min="15610" max="15610" width="5.42578125" style="64" customWidth="1"/>
    <col min="15611" max="15611" width="90.28515625" style="64" customWidth="1"/>
    <col min="15612" max="15613" width="12.42578125" style="64" customWidth="1"/>
    <col min="15614" max="15614" width="11.5703125" style="64" customWidth="1"/>
    <col min="15615" max="15615" width="12.7109375" style="64" customWidth="1"/>
    <col min="15616" max="15865" width="9.140625" style="64"/>
    <col min="15866" max="15866" width="5.42578125" style="64" customWidth="1"/>
    <col min="15867" max="15867" width="90.28515625" style="64" customWidth="1"/>
    <col min="15868" max="15869" width="12.42578125" style="64" customWidth="1"/>
    <col min="15870" max="15870" width="11.5703125" style="64" customWidth="1"/>
    <col min="15871" max="15871" width="12.7109375" style="64" customWidth="1"/>
    <col min="15872" max="16121" width="9.140625" style="64"/>
    <col min="16122" max="16122" width="5.42578125" style="64" customWidth="1"/>
    <col min="16123" max="16123" width="90.28515625" style="64" customWidth="1"/>
    <col min="16124" max="16125" width="12.42578125" style="64" customWidth="1"/>
    <col min="16126" max="16126" width="11.5703125" style="64" customWidth="1"/>
    <col min="16127" max="16127" width="12.7109375" style="64" customWidth="1"/>
    <col min="16128" max="16384" width="9.140625" style="64"/>
  </cols>
  <sheetData>
    <row r="1" spans="1:8" ht="15" customHeight="1" x14ac:dyDescent="0.2">
      <c r="A1" s="493" t="s">
        <v>262</v>
      </c>
      <c r="B1" s="493"/>
      <c r="C1" s="493"/>
      <c r="D1" s="493"/>
      <c r="E1" s="493"/>
      <c r="F1" s="493"/>
    </row>
    <row r="2" spans="1:8" ht="15" customHeight="1" x14ac:dyDescent="0.25">
      <c r="A2" s="67"/>
      <c r="B2" s="68"/>
      <c r="C2" s="68"/>
      <c r="D2" s="68"/>
    </row>
    <row r="3" spans="1:8" ht="15" customHeight="1" x14ac:dyDescent="0.25">
      <c r="A3" s="647" t="s">
        <v>238</v>
      </c>
      <c r="B3" s="647"/>
      <c r="C3" s="647"/>
      <c r="D3" s="647"/>
      <c r="E3" s="647"/>
      <c r="F3" s="647"/>
    </row>
    <row r="4" spans="1:8" ht="15" customHeight="1" x14ac:dyDescent="0.2">
      <c r="A4" s="667" t="s">
        <v>113</v>
      </c>
      <c r="B4" s="667"/>
      <c r="C4" s="667"/>
      <c r="D4" s="667"/>
      <c r="E4" s="667"/>
      <c r="F4" s="667"/>
    </row>
    <row r="5" spans="1:8" ht="15" customHeight="1" x14ac:dyDescent="0.25">
      <c r="A5" s="647" t="s">
        <v>257</v>
      </c>
      <c r="B5" s="647"/>
      <c r="C5" s="647"/>
      <c r="D5" s="647"/>
      <c r="E5" s="647"/>
      <c r="F5" s="647"/>
    </row>
    <row r="6" spans="1:8" ht="15" customHeight="1" x14ac:dyDescent="0.25">
      <c r="A6" s="647"/>
      <c r="B6" s="647"/>
      <c r="C6" s="647"/>
      <c r="D6" s="647"/>
      <c r="E6" s="647"/>
      <c r="F6" s="647"/>
      <c r="G6" s="65"/>
      <c r="H6" s="65"/>
    </row>
    <row r="7" spans="1:8" ht="15" customHeight="1" thickBot="1" x14ac:dyDescent="0.3">
      <c r="B7" s="70"/>
      <c r="F7" s="71" t="s">
        <v>201</v>
      </c>
    </row>
    <row r="8" spans="1:8" ht="15" customHeight="1" x14ac:dyDescent="0.2">
      <c r="A8" s="657" t="s">
        <v>9</v>
      </c>
      <c r="B8" s="659" t="s">
        <v>114</v>
      </c>
      <c r="C8" s="661" t="s">
        <v>268</v>
      </c>
      <c r="D8" s="661" t="s">
        <v>266</v>
      </c>
      <c r="E8" s="663" t="s">
        <v>267</v>
      </c>
      <c r="F8" s="665" t="s">
        <v>115</v>
      </c>
    </row>
    <row r="9" spans="1:8" ht="15" customHeight="1" x14ac:dyDescent="0.2">
      <c r="A9" s="658"/>
      <c r="B9" s="660"/>
      <c r="C9" s="662"/>
      <c r="D9" s="662"/>
      <c r="E9" s="664"/>
      <c r="F9" s="666"/>
    </row>
    <row r="10" spans="1:8" ht="15" customHeight="1" thickBot="1" x14ac:dyDescent="0.25">
      <c r="A10" s="658"/>
      <c r="B10" s="660"/>
      <c r="C10" s="662"/>
      <c r="D10" s="662"/>
      <c r="E10" s="664"/>
      <c r="F10" s="666"/>
    </row>
    <row r="11" spans="1:8" ht="23.1" customHeight="1" x14ac:dyDescent="0.2">
      <c r="A11" s="420" t="s">
        <v>1</v>
      </c>
      <c r="B11" s="421" t="s">
        <v>127</v>
      </c>
      <c r="C11" s="293">
        <v>4000000</v>
      </c>
      <c r="D11" s="293">
        <v>6000000</v>
      </c>
      <c r="E11" s="207">
        <v>1450000</v>
      </c>
      <c r="F11" s="86">
        <f>+E11/D11*100</f>
        <v>24.166666666666668</v>
      </c>
    </row>
    <row r="12" spans="1:8" ht="23.1" customHeight="1" x14ac:dyDescent="0.2">
      <c r="A12" s="204" t="s">
        <v>2</v>
      </c>
      <c r="B12" s="291" t="s">
        <v>117</v>
      </c>
      <c r="C12" s="294">
        <v>1054500</v>
      </c>
      <c r="D12" s="294">
        <v>1054500</v>
      </c>
      <c r="E12" s="206">
        <v>1054500</v>
      </c>
      <c r="F12" s="87">
        <f t="shared" ref="F12:F17" si="0">+E12/D12*100</f>
        <v>100</v>
      </c>
      <c r="G12" s="69"/>
    </row>
    <row r="13" spans="1:8" ht="23.1" customHeight="1" x14ac:dyDescent="0.2">
      <c r="A13" s="49" t="s">
        <v>4</v>
      </c>
      <c r="B13" s="291" t="s">
        <v>123</v>
      </c>
      <c r="C13" s="294">
        <v>50000</v>
      </c>
      <c r="D13" s="294">
        <v>50000</v>
      </c>
      <c r="E13" s="206">
        <v>50000</v>
      </c>
      <c r="F13" s="87">
        <f t="shared" si="0"/>
        <v>100</v>
      </c>
    </row>
    <row r="14" spans="1:8" ht="23.1" customHeight="1" x14ac:dyDescent="0.2">
      <c r="A14" s="204" t="s">
        <v>5</v>
      </c>
      <c r="B14" s="292" t="s">
        <v>202</v>
      </c>
      <c r="C14" s="295">
        <v>50000</v>
      </c>
      <c r="D14" s="295">
        <v>50000</v>
      </c>
      <c r="E14" s="206">
        <v>50000</v>
      </c>
      <c r="F14" s="87">
        <f t="shared" si="0"/>
        <v>100</v>
      </c>
    </row>
    <row r="15" spans="1:8" ht="23.1" customHeight="1" x14ac:dyDescent="0.2">
      <c r="A15" s="296" t="s">
        <v>7</v>
      </c>
      <c r="B15" s="297" t="s">
        <v>132</v>
      </c>
      <c r="C15" s="295">
        <v>113000</v>
      </c>
      <c r="D15" s="295">
        <v>1114000</v>
      </c>
      <c r="E15" s="206">
        <v>876700</v>
      </c>
      <c r="F15" s="87">
        <f t="shared" si="0"/>
        <v>78.698384201077204</v>
      </c>
    </row>
    <row r="16" spans="1:8" ht="23.1" customHeight="1" x14ac:dyDescent="0.2">
      <c r="A16" s="49" t="s">
        <v>27</v>
      </c>
      <c r="B16" s="422" t="s">
        <v>116</v>
      </c>
      <c r="C16" s="205">
        <v>0</v>
      </c>
      <c r="D16" s="205">
        <v>100000</v>
      </c>
      <c r="E16" s="203">
        <v>50000</v>
      </c>
      <c r="F16" s="87">
        <f t="shared" si="0"/>
        <v>50</v>
      </c>
    </row>
    <row r="17" spans="1:6" ht="23.1" customHeight="1" thickBot="1" x14ac:dyDescent="0.25">
      <c r="A17" s="208" t="s">
        <v>81</v>
      </c>
      <c r="B17" s="209" t="s">
        <v>269</v>
      </c>
      <c r="C17" s="210">
        <v>0</v>
      </c>
      <c r="D17" s="210">
        <v>5579842</v>
      </c>
      <c r="E17" s="423">
        <v>3381300</v>
      </c>
      <c r="F17" s="211">
        <f t="shared" si="0"/>
        <v>60.598490064772449</v>
      </c>
    </row>
    <row r="18" spans="1:6" ht="29.25" customHeight="1" thickBot="1" x14ac:dyDescent="0.25">
      <c r="A18" s="655" t="s">
        <v>118</v>
      </c>
      <c r="B18" s="656"/>
      <c r="C18" s="282">
        <f>SUM(C11:C17)</f>
        <v>5267500</v>
      </c>
      <c r="D18" s="282">
        <f>SUM(D11:D17)</f>
        <v>13948342</v>
      </c>
      <c r="E18" s="282">
        <f>SUM(E11:E17)</f>
        <v>6912500</v>
      </c>
      <c r="F18" s="284">
        <f>+E18/D18*100</f>
        <v>49.557861428978441</v>
      </c>
    </row>
    <row r="19" spans="1:6" ht="18" customHeight="1" x14ac:dyDescent="0.3">
      <c r="A19" s="72"/>
      <c r="B19" s="73"/>
      <c r="C19" s="74"/>
      <c r="D19" s="74"/>
      <c r="E19" s="81"/>
      <c r="F19" s="82"/>
    </row>
    <row r="20" spans="1:6" ht="15" customHeight="1" x14ac:dyDescent="0.25">
      <c r="E20" s="81"/>
    </row>
  </sheetData>
  <mergeCells count="12">
    <mergeCell ref="E8:E10"/>
    <mergeCell ref="F8:F10"/>
    <mergeCell ref="A1:F1"/>
    <mergeCell ref="A3:F3"/>
    <mergeCell ref="A4:F4"/>
    <mergeCell ref="A5:F5"/>
    <mergeCell ref="A6:F6"/>
    <mergeCell ref="A18:B18"/>
    <mergeCell ref="A8:A10"/>
    <mergeCell ref="B8:B10"/>
    <mergeCell ref="C8:C10"/>
    <mergeCell ref="D8:D10"/>
  </mergeCells>
  <printOptions horizontalCentered="1"/>
  <pageMargins left="7.874015748031496E-2" right="7.874015748031496E-2" top="0.59055118110236227" bottom="0.59055118110236227" header="0.51181102362204722" footer="0.51181102362204722"/>
  <pageSetup paperSize="9" orientation="landscape" r:id="rId1"/>
  <headerFooter alignWithMargins="0"/>
  <rowBreaks count="1" manualBreakCount="1">
    <brk id="1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F44"/>
  <sheetViews>
    <sheetView topLeftCell="A15" zoomScaleNormal="100" workbookViewId="0">
      <selection activeCell="K14" sqref="K14"/>
    </sheetView>
  </sheetViews>
  <sheetFormatPr defaultRowHeight="15.75" x14ac:dyDescent="0.25"/>
  <cols>
    <col min="1" max="1" width="5.42578125" style="63" customWidth="1"/>
    <col min="2" max="2" width="101.7109375" style="75" customWidth="1"/>
    <col min="3" max="3" width="11.7109375" style="66" customWidth="1"/>
    <col min="4" max="4" width="12.42578125" style="66" customWidth="1"/>
    <col min="5" max="5" width="11.7109375" style="66" customWidth="1"/>
    <col min="6" max="6" width="10" style="66" customWidth="1"/>
    <col min="7" max="256" width="9.140625" style="64"/>
    <col min="257" max="257" width="5.42578125" style="64" customWidth="1"/>
    <col min="258" max="258" width="101.7109375" style="64" customWidth="1"/>
    <col min="259" max="262" width="14.140625" style="64" customWidth="1"/>
    <col min="263" max="512" width="9.140625" style="64"/>
    <col min="513" max="513" width="5.42578125" style="64" customWidth="1"/>
    <col min="514" max="514" width="101.7109375" style="64" customWidth="1"/>
    <col min="515" max="518" width="14.140625" style="64" customWidth="1"/>
    <col min="519" max="768" width="9.140625" style="64"/>
    <col min="769" max="769" width="5.42578125" style="64" customWidth="1"/>
    <col min="770" max="770" width="101.7109375" style="64" customWidth="1"/>
    <col min="771" max="774" width="14.140625" style="64" customWidth="1"/>
    <col min="775" max="1024" width="9.140625" style="64"/>
    <col min="1025" max="1025" width="5.42578125" style="64" customWidth="1"/>
    <col min="1026" max="1026" width="101.7109375" style="64" customWidth="1"/>
    <col min="1027" max="1030" width="14.140625" style="64" customWidth="1"/>
    <col min="1031" max="1280" width="9.140625" style="64"/>
    <col min="1281" max="1281" width="5.42578125" style="64" customWidth="1"/>
    <col min="1282" max="1282" width="101.7109375" style="64" customWidth="1"/>
    <col min="1283" max="1286" width="14.140625" style="64" customWidth="1"/>
    <col min="1287" max="1536" width="9.140625" style="64"/>
    <col min="1537" max="1537" width="5.42578125" style="64" customWidth="1"/>
    <col min="1538" max="1538" width="101.7109375" style="64" customWidth="1"/>
    <col min="1539" max="1542" width="14.140625" style="64" customWidth="1"/>
    <col min="1543" max="1792" width="9.140625" style="64"/>
    <col min="1793" max="1793" width="5.42578125" style="64" customWidth="1"/>
    <col min="1794" max="1794" width="101.7109375" style="64" customWidth="1"/>
    <col min="1795" max="1798" width="14.140625" style="64" customWidth="1"/>
    <col min="1799" max="2048" width="9.140625" style="64"/>
    <col min="2049" max="2049" width="5.42578125" style="64" customWidth="1"/>
    <col min="2050" max="2050" width="101.7109375" style="64" customWidth="1"/>
    <col min="2051" max="2054" width="14.140625" style="64" customWidth="1"/>
    <col min="2055" max="2304" width="9.140625" style="64"/>
    <col min="2305" max="2305" width="5.42578125" style="64" customWidth="1"/>
    <col min="2306" max="2306" width="101.7109375" style="64" customWidth="1"/>
    <col min="2307" max="2310" width="14.140625" style="64" customWidth="1"/>
    <col min="2311" max="2560" width="9.140625" style="64"/>
    <col min="2561" max="2561" width="5.42578125" style="64" customWidth="1"/>
    <col min="2562" max="2562" width="101.7109375" style="64" customWidth="1"/>
    <col min="2563" max="2566" width="14.140625" style="64" customWidth="1"/>
    <col min="2567" max="2816" width="9.140625" style="64"/>
    <col min="2817" max="2817" width="5.42578125" style="64" customWidth="1"/>
    <col min="2818" max="2818" width="101.7109375" style="64" customWidth="1"/>
    <col min="2819" max="2822" width="14.140625" style="64" customWidth="1"/>
    <col min="2823" max="3072" width="9.140625" style="64"/>
    <col min="3073" max="3073" width="5.42578125" style="64" customWidth="1"/>
    <col min="3074" max="3074" width="101.7109375" style="64" customWidth="1"/>
    <col min="3075" max="3078" width="14.140625" style="64" customWidth="1"/>
    <col min="3079" max="3328" width="9.140625" style="64"/>
    <col min="3329" max="3329" width="5.42578125" style="64" customWidth="1"/>
    <col min="3330" max="3330" width="101.7109375" style="64" customWidth="1"/>
    <col min="3331" max="3334" width="14.140625" style="64" customWidth="1"/>
    <col min="3335" max="3584" width="9.140625" style="64"/>
    <col min="3585" max="3585" width="5.42578125" style="64" customWidth="1"/>
    <col min="3586" max="3586" width="101.7109375" style="64" customWidth="1"/>
    <col min="3587" max="3590" width="14.140625" style="64" customWidth="1"/>
    <col min="3591" max="3840" width="9.140625" style="64"/>
    <col min="3841" max="3841" width="5.42578125" style="64" customWidth="1"/>
    <col min="3842" max="3842" width="101.7109375" style="64" customWidth="1"/>
    <col min="3843" max="3846" width="14.140625" style="64" customWidth="1"/>
    <col min="3847" max="4096" width="9.140625" style="64"/>
    <col min="4097" max="4097" width="5.42578125" style="64" customWidth="1"/>
    <col min="4098" max="4098" width="101.7109375" style="64" customWidth="1"/>
    <col min="4099" max="4102" width="14.140625" style="64" customWidth="1"/>
    <col min="4103" max="4352" width="9.140625" style="64"/>
    <col min="4353" max="4353" width="5.42578125" style="64" customWidth="1"/>
    <col min="4354" max="4354" width="101.7109375" style="64" customWidth="1"/>
    <col min="4355" max="4358" width="14.140625" style="64" customWidth="1"/>
    <col min="4359" max="4608" width="9.140625" style="64"/>
    <col min="4609" max="4609" width="5.42578125" style="64" customWidth="1"/>
    <col min="4610" max="4610" width="101.7109375" style="64" customWidth="1"/>
    <col min="4611" max="4614" width="14.140625" style="64" customWidth="1"/>
    <col min="4615" max="4864" width="9.140625" style="64"/>
    <col min="4865" max="4865" width="5.42578125" style="64" customWidth="1"/>
    <col min="4866" max="4866" width="101.7109375" style="64" customWidth="1"/>
    <col min="4867" max="4870" width="14.140625" style="64" customWidth="1"/>
    <col min="4871" max="5120" width="9.140625" style="64"/>
    <col min="5121" max="5121" width="5.42578125" style="64" customWidth="1"/>
    <col min="5122" max="5122" width="101.7109375" style="64" customWidth="1"/>
    <col min="5123" max="5126" width="14.140625" style="64" customWidth="1"/>
    <col min="5127" max="5376" width="9.140625" style="64"/>
    <col min="5377" max="5377" width="5.42578125" style="64" customWidth="1"/>
    <col min="5378" max="5378" width="101.7109375" style="64" customWidth="1"/>
    <col min="5379" max="5382" width="14.140625" style="64" customWidth="1"/>
    <col min="5383" max="5632" width="9.140625" style="64"/>
    <col min="5633" max="5633" width="5.42578125" style="64" customWidth="1"/>
    <col min="5634" max="5634" width="101.7109375" style="64" customWidth="1"/>
    <col min="5635" max="5638" width="14.140625" style="64" customWidth="1"/>
    <col min="5639" max="5888" width="9.140625" style="64"/>
    <col min="5889" max="5889" width="5.42578125" style="64" customWidth="1"/>
    <col min="5890" max="5890" width="101.7109375" style="64" customWidth="1"/>
    <col min="5891" max="5894" width="14.140625" style="64" customWidth="1"/>
    <col min="5895" max="6144" width="9.140625" style="64"/>
    <col min="6145" max="6145" width="5.42578125" style="64" customWidth="1"/>
    <col min="6146" max="6146" width="101.7109375" style="64" customWidth="1"/>
    <col min="6147" max="6150" width="14.140625" style="64" customWidth="1"/>
    <col min="6151" max="6400" width="9.140625" style="64"/>
    <col min="6401" max="6401" width="5.42578125" style="64" customWidth="1"/>
    <col min="6402" max="6402" width="101.7109375" style="64" customWidth="1"/>
    <col min="6403" max="6406" width="14.140625" style="64" customWidth="1"/>
    <col min="6407" max="6656" width="9.140625" style="64"/>
    <col min="6657" max="6657" width="5.42578125" style="64" customWidth="1"/>
    <col min="6658" max="6658" width="101.7109375" style="64" customWidth="1"/>
    <col min="6659" max="6662" width="14.140625" style="64" customWidth="1"/>
    <col min="6663" max="6912" width="9.140625" style="64"/>
    <col min="6913" max="6913" width="5.42578125" style="64" customWidth="1"/>
    <col min="6914" max="6914" width="101.7109375" style="64" customWidth="1"/>
    <col min="6915" max="6918" width="14.140625" style="64" customWidth="1"/>
    <col min="6919" max="7168" width="9.140625" style="64"/>
    <col min="7169" max="7169" width="5.42578125" style="64" customWidth="1"/>
    <col min="7170" max="7170" width="101.7109375" style="64" customWidth="1"/>
    <col min="7171" max="7174" width="14.140625" style="64" customWidth="1"/>
    <col min="7175" max="7424" width="9.140625" style="64"/>
    <col min="7425" max="7425" width="5.42578125" style="64" customWidth="1"/>
    <col min="7426" max="7426" width="101.7109375" style="64" customWidth="1"/>
    <col min="7427" max="7430" width="14.140625" style="64" customWidth="1"/>
    <col min="7431" max="7680" width="9.140625" style="64"/>
    <col min="7681" max="7681" width="5.42578125" style="64" customWidth="1"/>
    <col min="7682" max="7682" width="101.7109375" style="64" customWidth="1"/>
    <col min="7683" max="7686" width="14.140625" style="64" customWidth="1"/>
    <col min="7687" max="7936" width="9.140625" style="64"/>
    <col min="7937" max="7937" width="5.42578125" style="64" customWidth="1"/>
    <col min="7938" max="7938" width="101.7109375" style="64" customWidth="1"/>
    <col min="7939" max="7942" width="14.140625" style="64" customWidth="1"/>
    <col min="7943" max="8192" width="9.140625" style="64"/>
    <col min="8193" max="8193" width="5.42578125" style="64" customWidth="1"/>
    <col min="8194" max="8194" width="101.7109375" style="64" customWidth="1"/>
    <col min="8195" max="8198" width="14.140625" style="64" customWidth="1"/>
    <col min="8199" max="8448" width="9.140625" style="64"/>
    <col min="8449" max="8449" width="5.42578125" style="64" customWidth="1"/>
    <col min="8450" max="8450" width="101.7109375" style="64" customWidth="1"/>
    <col min="8451" max="8454" width="14.140625" style="64" customWidth="1"/>
    <col min="8455" max="8704" width="9.140625" style="64"/>
    <col min="8705" max="8705" width="5.42578125" style="64" customWidth="1"/>
    <col min="8706" max="8706" width="101.7109375" style="64" customWidth="1"/>
    <col min="8707" max="8710" width="14.140625" style="64" customWidth="1"/>
    <col min="8711" max="8960" width="9.140625" style="64"/>
    <col min="8961" max="8961" width="5.42578125" style="64" customWidth="1"/>
    <col min="8962" max="8962" width="101.7109375" style="64" customWidth="1"/>
    <col min="8963" max="8966" width="14.140625" style="64" customWidth="1"/>
    <col min="8967" max="9216" width="9.140625" style="64"/>
    <col min="9217" max="9217" width="5.42578125" style="64" customWidth="1"/>
    <col min="9218" max="9218" width="101.7109375" style="64" customWidth="1"/>
    <col min="9219" max="9222" width="14.140625" style="64" customWidth="1"/>
    <col min="9223" max="9472" width="9.140625" style="64"/>
    <col min="9473" max="9473" width="5.42578125" style="64" customWidth="1"/>
    <col min="9474" max="9474" width="101.7109375" style="64" customWidth="1"/>
    <col min="9475" max="9478" width="14.140625" style="64" customWidth="1"/>
    <col min="9479" max="9728" width="9.140625" style="64"/>
    <col min="9729" max="9729" width="5.42578125" style="64" customWidth="1"/>
    <col min="9730" max="9730" width="101.7109375" style="64" customWidth="1"/>
    <col min="9731" max="9734" width="14.140625" style="64" customWidth="1"/>
    <col min="9735" max="9984" width="9.140625" style="64"/>
    <col min="9985" max="9985" width="5.42578125" style="64" customWidth="1"/>
    <col min="9986" max="9986" width="101.7109375" style="64" customWidth="1"/>
    <col min="9987" max="9990" width="14.140625" style="64" customWidth="1"/>
    <col min="9991" max="10240" width="9.140625" style="64"/>
    <col min="10241" max="10241" width="5.42578125" style="64" customWidth="1"/>
    <col min="10242" max="10242" width="101.7109375" style="64" customWidth="1"/>
    <col min="10243" max="10246" width="14.140625" style="64" customWidth="1"/>
    <col min="10247" max="10496" width="9.140625" style="64"/>
    <col min="10497" max="10497" width="5.42578125" style="64" customWidth="1"/>
    <col min="10498" max="10498" width="101.7109375" style="64" customWidth="1"/>
    <col min="10499" max="10502" width="14.140625" style="64" customWidth="1"/>
    <col min="10503" max="10752" width="9.140625" style="64"/>
    <col min="10753" max="10753" width="5.42578125" style="64" customWidth="1"/>
    <col min="10754" max="10754" width="101.7109375" style="64" customWidth="1"/>
    <col min="10755" max="10758" width="14.140625" style="64" customWidth="1"/>
    <col min="10759" max="11008" width="9.140625" style="64"/>
    <col min="11009" max="11009" width="5.42578125" style="64" customWidth="1"/>
    <col min="11010" max="11010" width="101.7109375" style="64" customWidth="1"/>
    <col min="11011" max="11014" width="14.140625" style="64" customWidth="1"/>
    <col min="11015" max="11264" width="9.140625" style="64"/>
    <col min="11265" max="11265" width="5.42578125" style="64" customWidth="1"/>
    <col min="11266" max="11266" width="101.7109375" style="64" customWidth="1"/>
    <col min="11267" max="11270" width="14.140625" style="64" customWidth="1"/>
    <col min="11271" max="11520" width="9.140625" style="64"/>
    <col min="11521" max="11521" width="5.42578125" style="64" customWidth="1"/>
    <col min="11522" max="11522" width="101.7109375" style="64" customWidth="1"/>
    <col min="11523" max="11526" width="14.140625" style="64" customWidth="1"/>
    <col min="11527" max="11776" width="9.140625" style="64"/>
    <col min="11777" max="11777" width="5.42578125" style="64" customWidth="1"/>
    <col min="11778" max="11778" width="101.7109375" style="64" customWidth="1"/>
    <col min="11779" max="11782" width="14.140625" style="64" customWidth="1"/>
    <col min="11783" max="12032" width="9.140625" style="64"/>
    <col min="12033" max="12033" width="5.42578125" style="64" customWidth="1"/>
    <col min="12034" max="12034" width="101.7109375" style="64" customWidth="1"/>
    <col min="12035" max="12038" width="14.140625" style="64" customWidth="1"/>
    <col min="12039" max="12288" width="9.140625" style="64"/>
    <col min="12289" max="12289" width="5.42578125" style="64" customWidth="1"/>
    <col min="12290" max="12290" width="101.7109375" style="64" customWidth="1"/>
    <col min="12291" max="12294" width="14.140625" style="64" customWidth="1"/>
    <col min="12295" max="12544" width="9.140625" style="64"/>
    <col min="12545" max="12545" width="5.42578125" style="64" customWidth="1"/>
    <col min="12546" max="12546" width="101.7109375" style="64" customWidth="1"/>
    <col min="12547" max="12550" width="14.140625" style="64" customWidth="1"/>
    <col min="12551" max="12800" width="9.140625" style="64"/>
    <col min="12801" max="12801" width="5.42578125" style="64" customWidth="1"/>
    <col min="12802" max="12802" width="101.7109375" style="64" customWidth="1"/>
    <col min="12803" max="12806" width="14.140625" style="64" customWidth="1"/>
    <col min="12807" max="13056" width="9.140625" style="64"/>
    <col min="13057" max="13057" width="5.42578125" style="64" customWidth="1"/>
    <col min="13058" max="13058" width="101.7109375" style="64" customWidth="1"/>
    <col min="13059" max="13062" width="14.140625" style="64" customWidth="1"/>
    <col min="13063" max="13312" width="9.140625" style="64"/>
    <col min="13313" max="13313" width="5.42578125" style="64" customWidth="1"/>
    <col min="13314" max="13314" width="101.7109375" style="64" customWidth="1"/>
    <col min="13315" max="13318" width="14.140625" style="64" customWidth="1"/>
    <col min="13319" max="13568" width="9.140625" style="64"/>
    <col min="13569" max="13569" width="5.42578125" style="64" customWidth="1"/>
    <col min="13570" max="13570" width="101.7109375" style="64" customWidth="1"/>
    <col min="13571" max="13574" width="14.140625" style="64" customWidth="1"/>
    <col min="13575" max="13824" width="9.140625" style="64"/>
    <col min="13825" max="13825" width="5.42578125" style="64" customWidth="1"/>
    <col min="13826" max="13826" width="101.7109375" style="64" customWidth="1"/>
    <col min="13827" max="13830" width="14.140625" style="64" customWidth="1"/>
    <col min="13831" max="14080" width="9.140625" style="64"/>
    <col min="14081" max="14081" width="5.42578125" style="64" customWidth="1"/>
    <col min="14082" max="14082" width="101.7109375" style="64" customWidth="1"/>
    <col min="14083" max="14086" width="14.140625" style="64" customWidth="1"/>
    <col min="14087" max="14336" width="9.140625" style="64"/>
    <col min="14337" max="14337" width="5.42578125" style="64" customWidth="1"/>
    <col min="14338" max="14338" width="101.7109375" style="64" customWidth="1"/>
    <col min="14339" max="14342" width="14.140625" style="64" customWidth="1"/>
    <col min="14343" max="14592" width="9.140625" style="64"/>
    <col min="14593" max="14593" width="5.42578125" style="64" customWidth="1"/>
    <col min="14594" max="14594" width="101.7109375" style="64" customWidth="1"/>
    <col min="14595" max="14598" width="14.140625" style="64" customWidth="1"/>
    <col min="14599" max="14848" width="9.140625" style="64"/>
    <col min="14849" max="14849" width="5.42578125" style="64" customWidth="1"/>
    <col min="14850" max="14850" width="101.7109375" style="64" customWidth="1"/>
    <col min="14851" max="14854" width="14.140625" style="64" customWidth="1"/>
    <col min="14855" max="15104" width="9.140625" style="64"/>
    <col min="15105" max="15105" width="5.42578125" style="64" customWidth="1"/>
    <col min="15106" max="15106" width="101.7109375" style="64" customWidth="1"/>
    <col min="15107" max="15110" width="14.140625" style="64" customWidth="1"/>
    <col min="15111" max="15360" width="9.140625" style="64"/>
    <col min="15361" max="15361" width="5.42578125" style="64" customWidth="1"/>
    <col min="15362" max="15362" width="101.7109375" style="64" customWidth="1"/>
    <col min="15363" max="15366" width="14.140625" style="64" customWidth="1"/>
    <col min="15367" max="15616" width="9.140625" style="64"/>
    <col min="15617" max="15617" width="5.42578125" style="64" customWidth="1"/>
    <col min="15618" max="15618" width="101.7109375" style="64" customWidth="1"/>
    <col min="15619" max="15622" width="14.140625" style="64" customWidth="1"/>
    <col min="15623" max="15872" width="9.140625" style="64"/>
    <col min="15873" max="15873" width="5.42578125" style="64" customWidth="1"/>
    <col min="15874" max="15874" width="101.7109375" style="64" customWidth="1"/>
    <col min="15875" max="15878" width="14.140625" style="64" customWidth="1"/>
    <col min="15879" max="16128" width="9.140625" style="64"/>
    <col min="16129" max="16129" width="5.42578125" style="64" customWidth="1"/>
    <col min="16130" max="16130" width="101.7109375" style="64" customWidth="1"/>
    <col min="16131" max="16134" width="14.140625" style="64" customWidth="1"/>
    <col min="16135" max="16384" width="9.140625" style="64"/>
  </cols>
  <sheetData>
    <row r="1" spans="1:6" ht="15" customHeight="1" x14ac:dyDescent="0.2">
      <c r="A1" s="493" t="s">
        <v>263</v>
      </c>
      <c r="B1" s="493"/>
      <c r="C1" s="493"/>
      <c r="D1" s="493"/>
      <c r="E1" s="493"/>
      <c r="F1" s="493"/>
    </row>
    <row r="2" spans="1:6" ht="15" customHeight="1" x14ac:dyDescent="0.25">
      <c r="A2" s="67"/>
      <c r="B2" s="68"/>
      <c r="C2" s="68"/>
      <c r="D2" s="68"/>
      <c r="E2" s="68"/>
      <c r="F2" s="68"/>
    </row>
    <row r="3" spans="1:6" ht="15" customHeight="1" x14ac:dyDescent="0.25">
      <c r="A3" s="647" t="s">
        <v>238</v>
      </c>
      <c r="B3" s="647"/>
      <c r="C3" s="647"/>
      <c r="D3" s="647"/>
      <c r="E3" s="647"/>
      <c r="F3" s="647"/>
    </row>
    <row r="4" spans="1:6" ht="15" customHeight="1" x14ac:dyDescent="0.2">
      <c r="A4" s="667" t="s">
        <v>161</v>
      </c>
      <c r="B4" s="667"/>
      <c r="C4" s="667"/>
      <c r="D4" s="667"/>
      <c r="E4" s="667"/>
      <c r="F4" s="667"/>
    </row>
    <row r="5" spans="1:6" ht="15" customHeight="1" x14ac:dyDescent="0.25">
      <c r="A5" s="647" t="s">
        <v>257</v>
      </c>
      <c r="B5" s="647"/>
      <c r="C5" s="647"/>
      <c r="D5" s="647"/>
      <c r="E5" s="647"/>
      <c r="F5" s="647"/>
    </row>
    <row r="6" spans="1:6" ht="15" customHeight="1" x14ac:dyDescent="0.25">
      <c r="A6" s="95"/>
      <c r="B6" s="95"/>
      <c r="C6" s="95"/>
      <c r="D6" s="95"/>
      <c r="E6" s="95"/>
      <c r="F6" s="95"/>
    </row>
    <row r="7" spans="1:6" ht="15" customHeight="1" thickBot="1" x14ac:dyDescent="0.3">
      <c r="B7" s="70"/>
      <c r="C7" s="71"/>
      <c r="D7" s="71"/>
      <c r="E7" s="71"/>
      <c r="F7" s="71" t="s">
        <v>201</v>
      </c>
    </row>
    <row r="8" spans="1:6" ht="15" customHeight="1" x14ac:dyDescent="0.2">
      <c r="A8" s="657" t="s">
        <v>9</v>
      </c>
      <c r="B8" s="659" t="s">
        <v>114</v>
      </c>
      <c r="C8" s="661" t="s">
        <v>268</v>
      </c>
      <c r="D8" s="661" t="s">
        <v>266</v>
      </c>
      <c r="E8" s="663" t="s">
        <v>267</v>
      </c>
      <c r="F8" s="665" t="s">
        <v>115</v>
      </c>
    </row>
    <row r="9" spans="1:6" ht="15" customHeight="1" x14ac:dyDescent="0.2">
      <c r="A9" s="658"/>
      <c r="B9" s="660"/>
      <c r="C9" s="662"/>
      <c r="D9" s="662"/>
      <c r="E9" s="664"/>
      <c r="F9" s="666"/>
    </row>
    <row r="10" spans="1:6" ht="15" customHeight="1" thickBot="1" x14ac:dyDescent="0.25">
      <c r="A10" s="668"/>
      <c r="B10" s="669"/>
      <c r="C10" s="662"/>
      <c r="D10" s="662"/>
      <c r="E10" s="664"/>
      <c r="F10" s="666"/>
    </row>
    <row r="11" spans="1:6" s="76" customFormat="1" ht="20.100000000000001" customHeight="1" x14ac:dyDescent="0.2">
      <c r="A11" s="672" t="s">
        <v>119</v>
      </c>
      <c r="B11" s="673"/>
      <c r="C11" s="673"/>
      <c r="D11" s="673"/>
      <c r="E11" s="673"/>
      <c r="F11" s="674"/>
    </row>
    <row r="12" spans="1:6" s="76" customFormat="1" ht="20.100000000000001" customHeight="1" x14ac:dyDescent="0.2">
      <c r="A12" s="675" t="s">
        <v>124</v>
      </c>
      <c r="B12" s="676"/>
      <c r="C12" s="676"/>
      <c r="D12" s="676"/>
      <c r="E12" s="676"/>
      <c r="F12" s="677"/>
    </row>
    <row r="13" spans="1:6" s="76" customFormat="1" ht="20.100000000000001" customHeight="1" x14ac:dyDescent="0.2">
      <c r="A13" s="204" t="s">
        <v>1</v>
      </c>
      <c r="B13" s="288" t="s">
        <v>253</v>
      </c>
      <c r="C13" s="201">
        <v>2000000</v>
      </c>
      <c r="D13" s="201">
        <v>2000000</v>
      </c>
      <c r="E13" s="252">
        <v>2000000</v>
      </c>
      <c r="F13" s="87">
        <f>+E13/D13*100</f>
        <v>100</v>
      </c>
    </row>
    <row r="14" spans="1:6" s="76" customFormat="1" ht="20.100000000000001" customHeight="1" x14ac:dyDescent="0.2">
      <c r="A14" s="285" t="s">
        <v>2</v>
      </c>
      <c r="B14" s="288" t="s">
        <v>254</v>
      </c>
      <c r="C14" s="201">
        <v>250000</v>
      </c>
      <c r="D14" s="201">
        <v>250000</v>
      </c>
      <c r="E14" s="252">
        <v>250000</v>
      </c>
      <c r="F14" s="87">
        <f>+E14/D14*100</f>
        <v>100</v>
      </c>
    </row>
    <row r="15" spans="1:6" s="76" customFormat="1" ht="20.100000000000001" customHeight="1" x14ac:dyDescent="0.2">
      <c r="A15" s="285" t="s">
        <v>4</v>
      </c>
      <c r="B15" s="287" t="s">
        <v>219</v>
      </c>
      <c r="C15" s="286">
        <v>7299129</v>
      </c>
      <c r="D15" s="252">
        <v>7299129</v>
      </c>
      <c r="E15" s="252">
        <v>7299129</v>
      </c>
      <c r="F15" s="87">
        <f t="shared" ref="F15:F34" si="0">+E15/D15*100</f>
        <v>100</v>
      </c>
    </row>
    <row r="16" spans="1:6" s="76" customFormat="1" ht="20.100000000000001" customHeight="1" x14ac:dyDescent="0.2">
      <c r="A16" s="285" t="s">
        <v>5</v>
      </c>
      <c r="B16" s="287" t="s">
        <v>220</v>
      </c>
      <c r="C16" s="252">
        <v>1671064</v>
      </c>
      <c r="D16" s="252">
        <v>1671064</v>
      </c>
      <c r="E16" s="252">
        <v>1672124</v>
      </c>
      <c r="F16" s="87">
        <f t="shared" si="0"/>
        <v>100.0634326393244</v>
      </c>
    </row>
    <row r="17" spans="1:6" s="76" customFormat="1" ht="20.100000000000001" customHeight="1" x14ac:dyDescent="0.2">
      <c r="A17" s="285" t="s">
        <v>7</v>
      </c>
      <c r="B17" s="287" t="s">
        <v>221</v>
      </c>
      <c r="C17" s="286">
        <v>16298511</v>
      </c>
      <c r="D17" s="252">
        <v>16298511</v>
      </c>
      <c r="E17" s="252">
        <v>16298511</v>
      </c>
      <c r="F17" s="87">
        <f t="shared" si="0"/>
        <v>100</v>
      </c>
    </row>
    <row r="18" spans="1:6" s="76" customFormat="1" ht="20.100000000000001" customHeight="1" x14ac:dyDescent="0.2">
      <c r="A18" s="285" t="s">
        <v>27</v>
      </c>
      <c r="B18" s="287" t="s">
        <v>222</v>
      </c>
      <c r="C18" s="252">
        <v>2050612</v>
      </c>
      <c r="D18" s="252">
        <v>2051902</v>
      </c>
      <c r="E18" s="252">
        <v>2051902</v>
      </c>
      <c r="F18" s="87">
        <f t="shared" si="0"/>
        <v>100</v>
      </c>
    </row>
    <row r="19" spans="1:6" s="76" customFormat="1" ht="20.100000000000001" customHeight="1" x14ac:dyDescent="0.2">
      <c r="A19" s="285" t="s">
        <v>81</v>
      </c>
      <c r="B19" s="287" t="s">
        <v>223</v>
      </c>
      <c r="C19" s="252">
        <v>17941118</v>
      </c>
      <c r="D19" s="252">
        <v>17941118</v>
      </c>
      <c r="E19" s="252">
        <v>17941118</v>
      </c>
      <c r="F19" s="87">
        <f t="shared" si="0"/>
        <v>100</v>
      </c>
    </row>
    <row r="20" spans="1:6" s="76" customFormat="1" ht="20.100000000000001" customHeight="1" x14ac:dyDescent="0.2">
      <c r="A20" s="285" t="s">
        <v>82</v>
      </c>
      <c r="B20" s="287" t="s">
        <v>224</v>
      </c>
      <c r="C20" s="252">
        <v>2202120</v>
      </c>
      <c r="D20" s="252">
        <v>2203504</v>
      </c>
      <c r="E20" s="252">
        <v>2203504</v>
      </c>
      <c r="F20" s="87">
        <f t="shared" si="0"/>
        <v>100</v>
      </c>
    </row>
    <row r="21" spans="1:6" s="76" customFormat="1" ht="20.100000000000001" customHeight="1" x14ac:dyDescent="0.2">
      <c r="A21" s="285" t="s">
        <v>93</v>
      </c>
      <c r="B21" s="287" t="s">
        <v>270</v>
      </c>
      <c r="C21" s="424">
        <v>12735125</v>
      </c>
      <c r="D21" s="252">
        <v>12735125</v>
      </c>
      <c r="E21" s="252">
        <v>12735125</v>
      </c>
      <c r="F21" s="87">
        <f t="shared" si="0"/>
        <v>100</v>
      </c>
    </row>
    <row r="22" spans="1:6" s="76" customFormat="1" ht="20.100000000000001" customHeight="1" x14ac:dyDescent="0.2">
      <c r="A22" s="285" t="s">
        <v>128</v>
      </c>
      <c r="B22" s="287" t="s">
        <v>271</v>
      </c>
      <c r="C22" s="252">
        <v>1932496</v>
      </c>
      <c r="D22" s="252">
        <v>1932496</v>
      </c>
      <c r="E22" s="252">
        <v>1428950</v>
      </c>
      <c r="F22" s="87">
        <f t="shared" si="0"/>
        <v>73.943231965292554</v>
      </c>
    </row>
    <row r="23" spans="1:6" s="76" customFormat="1" ht="20.100000000000001" customHeight="1" x14ac:dyDescent="0.2">
      <c r="A23" s="285" t="s">
        <v>129</v>
      </c>
      <c r="B23" s="287" t="s">
        <v>272</v>
      </c>
      <c r="C23" s="286">
        <v>13353101</v>
      </c>
      <c r="D23" s="252">
        <v>13353101</v>
      </c>
      <c r="E23" s="252">
        <v>13353101</v>
      </c>
      <c r="F23" s="87">
        <f t="shared" si="0"/>
        <v>100</v>
      </c>
    </row>
    <row r="24" spans="1:6" s="76" customFormat="1" ht="20.100000000000001" customHeight="1" x14ac:dyDescent="0.2">
      <c r="A24" s="285" t="s">
        <v>133</v>
      </c>
      <c r="B24" s="287" t="s">
        <v>273</v>
      </c>
      <c r="C24" s="252">
        <v>1804060</v>
      </c>
      <c r="D24" s="252">
        <v>1804060</v>
      </c>
      <c r="E24" s="252">
        <v>1439084</v>
      </c>
      <c r="F24" s="87">
        <f t="shared" si="0"/>
        <v>79.769187277585004</v>
      </c>
    </row>
    <row r="25" spans="1:6" s="76" customFormat="1" ht="20.100000000000001" customHeight="1" x14ac:dyDescent="0.2">
      <c r="A25" s="285" t="s">
        <v>149</v>
      </c>
      <c r="B25" s="425" t="s">
        <v>225</v>
      </c>
      <c r="C25" s="426">
        <v>847500</v>
      </c>
      <c r="D25" s="201">
        <v>847500</v>
      </c>
      <c r="E25" s="252">
        <v>847500</v>
      </c>
      <c r="F25" s="87">
        <f t="shared" si="0"/>
        <v>100</v>
      </c>
    </row>
    <row r="26" spans="1:6" s="76" customFormat="1" ht="20.100000000000001" customHeight="1" x14ac:dyDescent="0.2">
      <c r="A26" s="285" t="s">
        <v>153</v>
      </c>
      <c r="B26" s="288" t="s">
        <v>274</v>
      </c>
      <c r="C26" s="426">
        <v>97348</v>
      </c>
      <c r="D26" s="201">
        <v>97348</v>
      </c>
      <c r="E26" s="252">
        <v>0</v>
      </c>
      <c r="F26" s="87">
        <f t="shared" si="0"/>
        <v>0</v>
      </c>
    </row>
    <row r="27" spans="1:6" s="76" customFormat="1" ht="20.100000000000001" customHeight="1" x14ac:dyDescent="0.2">
      <c r="A27" s="285" t="s">
        <v>154</v>
      </c>
      <c r="B27" s="427" t="s">
        <v>275</v>
      </c>
      <c r="C27" s="426">
        <v>116794</v>
      </c>
      <c r="D27" s="201">
        <v>191995</v>
      </c>
      <c r="E27" s="252">
        <v>0</v>
      </c>
      <c r="F27" s="87">
        <f t="shared" si="0"/>
        <v>0</v>
      </c>
    </row>
    <row r="28" spans="1:6" s="76" customFormat="1" ht="20.100000000000001" customHeight="1" x14ac:dyDescent="0.2">
      <c r="A28" s="285" t="s">
        <v>155</v>
      </c>
      <c r="B28" s="288" t="s">
        <v>276</v>
      </c>
      <c r="C28" s="426">
        <v>360103</v>
      </c>
      <c r="D28" s="201">
        <v>535303</v>
      </c>
      <c r="E28" s="252">
        <v>535303</v>
      </c>
      <c r="F28" s="87">
        <f t="shared" si="0"/>
        <v>100</v>
      </c>
    </row>
    <row r="29" spans="1:6" s="76" customFormat="1" ht="20.100000000000001" customHeight="1" x14ac:dyDescent="0.2">
      <c r="A29" s="285" t="s">
        <v>156</v>
      </c>
      <c r="B29" s="288" t="s">
        <v>277</v>
      </c>
      <c r="C29" s="426">
        <v>20855</v>
      </c>
      <c r="D29" s="201">
        <v>96055</v>
      </c>
      <c r="E29" s="252">
        <v>96055</v>
      </c>
      <c r="F29" s="87">
        <f t="shared" si="0"/>
        <v>100</v>
      </c>
    </row>
    <row r="30" spans="1:6" s="76" customFormat="1" ht="20.100000000000001" customHeight="1" x14ac:dyDescent="0.2">
      <c r="A30" s="285" t="s">
        <v>157</v>
      </c>
      <c r="B30" s="288" t="s">
        <v>278</v>
      </c>
      <c r="C30" s="426">
        <v>0</v>
      </c>
      <c r="D30" s="201">
        <v>19099</v>
      </c>
      <c r="E30" s="252">
        <v>19099</v>
      </c>
      <c r="F30" s="87">
        <f t="shared" si="0"/>
        <v>100</v>
      </c>
    </row>
    <row r="31" spans="1:6" s="76" customFormat="1" ht="20.100000000000001" customHeight="1" x14ac:dyDescent="0.2">
      <c r="A31" s="428" t="s">
        <v>168</v>
      </c>
      <c r="B31" s="288" t="s">
        <v>279</v>
      </c>
      <c r="C31" s="426">
        <v>0</v>
      </c>
      <c r="D31" s="201">
        <v>45445</v>
      </c>
      <c r="E31" s="252">
        <v>45445</v>
      </c>
      <c r="F31" s="87">
        <f t="shared" si="0"/>
        <v>100</v>
      </c>
    </row>
    <row r="32" spans="1:6" s="76" customFormat="1" ht="20.100000000000001" customHeight="1" x14ac:dyDescent="0.2">
      <c r="A32" s="428" t="s">
        <v>169</v>
      </c>
      <c r="B32" s="288" t="s">
        <v>280</v>
      </c>
      <c r="C32" s="426">
        <v>0</v>
      </c>
      <c r="D32" s="201">
        <v>9559</v>
      </c>
      <c r="E32" s="252">
        <v>9559</v>
      </c>
      <c r="F32" s="87">
        <f t="shared" si="0"/>
        <v>100</v>
      </c>
    </row>
    <row r="33" spans="1:6" s="76" customFormat="1" ht="30" customHeight="1" x14ac:dyDescent="0.2">
      <c r="A33" s="285" t="s">
        <v>170</v>
      </c>
      <c r="B33" s="52" t="s">
        <v>281</v>
      </c>
      <c r="C33" s="426">
        <v>0</v>
      </c>
      <c r="D33" s="201">
        <v>273488</v>
      </c>
      <c r="E33" s="252">
        <v>273488</v>
      </c>
      <c r="F33" s="87">
        <f t="shared" si="0"/>
        <v>100</v>
      </c>
    </row>
    <row r="34" spans="1:6" s="76" customFormat="1" ht="30" customHeight="1" x14ac:dyDescent="0.2">
      <c r="A34" s="285" t="s">
        <v>171</v>
      </c>
      <c r="B34" s="429" t="s">
        <v>282</v>
      </c>
      <c r="C34" s="426">
        <v>0</v>
      </c>
      <c r="D34" s="201">
        <v>16061</v>
      </c>
      <c r="E34" s="252">
        <v>16061</v>
      </c>
      <c r="F34" s="87">
        <f t="shared" si="0"/>
        <v>100</v>
      </c>
    </row>
    <row r="35" spans="1:6" s="76" customFormat="1" ht="20.100000000000001" customHeight="1" x14ac:dyDescent="0.2">
      <c r="A35" s="678" t="s">
        <v>125</v>
      </c>
      <c r="B35" s="679"/>
      <c r="C35" s="249">
        <f>SUM(C13:C34)</f>
        <v>80979936</v>
      </c>
      <c r="D35" s="249">
        <f>SUM(D13:D34)</f>
        <v>81671863</v>
      </c>
      <c r="E35" s="249">
        <f>SUM(E13:E34)</f>
        <v>80515058</v>
      </c>
      <c r="F35" s="289">
        <f>+E35/D35*100</f>
        <v>98.583594205509911</v>
      </c>
    </row>
    <row r="36" spans="1:6" s="77" customFormat="1" ht="20.100000000000001" customHeight="1" thickBot="1" x14ac:dyDescent="0.25">
      <c r="A36" s="680" t="s">
        <v>120</v>
      </c>
      <c r="B36" s="681"/>
      <c r="C36" s="250">
        <f>C35</f>
        <v>80979936</v>
      </c>
      <c r="D36" s="250">
        <f t="shared" ref="D36:E36" si="1">D35</f>
        <v>81671863</v>
      </c>
      <c r="E36" s="250">
        <f t="shared" si="1"/>
        <v>80515058</v>
      </c>
      <c r="F36" s="97">
        <f t="shared" ref="F36" si="2">+E36/D36*100</f>
        <v>98.583594205509911</v>
      </c>
    </row>
    <row r="37" spans="1:6" s="77" customFormat="1" ht="20.100000000000001" customHeight="1" x14ac:dyDescent="0.2">
      <c r="A37" s="672" t="s">
        <v>121</v>
      </c>
      <c r="B37" s="673"/>
      <c r="C37" s="673"/>
      <c r="D37" s="673"/>
      <c r="E37" s="673"/>
      <c r="F37" s="674"/>
    </row>
    <row r="38" spans="1:6" s="77" customFormat="1" ht="20.100000000000001" customHeight="1" x14ac:dyDescent="0.2">
      <c r="A38" s="682" t="s">
        <v>126</v>
      </c>
      <c r="B38" s="683"/>
      <c r="C38" s="684"/>
      <c r="D38" s="684"/>
      <c r="E38" s="683"/>
      <c r="F38" s="685"/>
    </row>
    <row r="39" spans="1:6" s="79" customFormat="1" ht="20.100000000000001" customHeight="1" x14ac:dyDescent="0.2">
      <c r="A39" s="204" t="s">
        <v>172</v>
      </c>
      <c r="B39" s="290" t="s">
        <v>127</v>
      </c>
      <c r="C39" s="202">
        <v>4000000</v>
      </c>
      <c r="D39" s="430">
        <v>6000000</v>
      </c>
      <c r="E39" s="252">
        <v>1450000</v>
      </c>
      <c r="F39" s="87">
        <f t="shared" ref="F39:F42" si="3">+E39/D39*100</f>
        <v>24.166666666666668</v>
      </c>
    </row>
    <row r="40" spans="1:6" s="77" customFormat="1" ht="20.100000000000001" customHeight="1" x14ac:dyDescent="0.2">
      <c r="A40" s="204" t="s">
        <v>175</v>
      </c>
      <c r="B40" s="291" t="s">
        <v>116</v>
      </c>
      <c r="C40" s="202">
        <v>0</v>
      </c>
      <c r="D40" s="430">
        <v>100000</v>
      </c>
      <c r="E40" s="252">
        <v>50000</v>
      </c>
      <c r="F40" s="87">
        <f t="shared" si="3"/>
        <v>50</v>
      </c>
    </row>
    <row r="41" spans="1:6" s="78" customFormat="1" ht="20.100000000000001" customHeight="1" x14ac:dyDescent="0.2">
      <c r="A41" s="431" t="s">
        <v>178</v>
      </c>
      <c r="B41" s="291" t="s">
        <v>132</v>
      </c>
      <c r="C41" s="422">
        <v>0</v>
      </c>
      <c r="D41" s="430">
        <v>210000</v>
      </c>
      <c r="E41" s="252">
        <v>210000</v>
      </c>
      <c r="F41" s="87">
        <f t="shared" si="3"/>
        <v>100</v>
      </c>
    </row>
    <row r="42" spans="1:6" s="76" customFormat="1" ht="20.100000000000001" customHeight="1" x14ac:dyDescent="0.2">
      <c r="A42" s="678" t="s">
        <v>130</v>
      </c>
      <c r="B42" s="679"/>
      <c r="C42" s="249">
        <f>SUM(C39:C41)</f>
        <v>4000000</v>
      </c>
      <c r="D42" s="249">
        <f>SUM(D39:D41)</f>
        <v>6310000</v>
      </c>
      <c r="E42" s="249">
        <f>SUM(E39:E41)</f>
        <v>1710000</v>
      </c>
      <c r="F42" s="92">
        <f t="shared" si="3"/>
        <v>27.099841521394612</v>
      </c>
    </row>
    <row r="43" spans="1:6" s="76" customFormat="1" ht="20.100000000000001" customHeight="1" x14ac:dyDescent="0.2">
      <c r="A43" s="686" t="s">
        <v>118</v>
      </c>
      <c r="B43" s="687"/>
      <c r="C43" s="251">
        <f>+C42</f>
        <v>4000000</v>
      </c>
      <c r="D43" s="251">
        <f t="shared" ref="D43:E43" si="4">+D42</f>
        <v>6310000</v>
      </c>
      <c r="E43" s="251">
        <f t="shared" si="4"/>
        <v>1710000</v>
      </c>
      <c r="F43" s="91">
        <f t="shared" ref="F43" si="5">+E43/D43*100</f>
        <v>27.099841521394612</v>
      </c>
    </row>
    <row r="44" spans="1:6" s="76" customFormat="1" ht="20.100000000000001" customHeight="1" thickBot="1" x14ac:dyDescent="0.25">
      <c r="A44" s="670" t="s">
        <v>131</v>
      </c>
      <c r="B44" s="671"/>
      <c r="C44" s="282">
        <f>+C43+C36</f>
        <v>84979936</v>
      </c>
      <c r="D44" s="283">
        <f>D43+D36</f>
        <v>87981863</v>
      </c>
      <c r="E44" s="283">
        <f>E36+E43</f>
        <v>82225058</v>
      </c>
      <c r="F44" s="284">
        <f>+E44/D44*100</f>
        <v>93.456827573655715</v>
      </c>
    </row>
  </sheetData>
  <mergeCells count="19">
    <mergeCell ref="A44:B44"/>
    <mergeCell ref="A11:F11"/>
    <mergeCell ref="A12:F12"/>
    <mergeCell ref="A35:B35"/>
    <mergeCell ref="A36:B36"/>
    <mergeCell ref="A37:F37"/>
    <mergeCell ref="A38:F38"/>
    <mergeCell ref="A42:B42"/>
    <mergeCell ref="A43:B43"/>
    <mergeCell ref="A1:F1"/>
    <mergeCell ref="A3:F3"/>
    <mergeCell ref="A4:F4"/>
    <mergeCell ref="A5:F5"/>
    <mergeCell ref="A8:A10"/>
    <mergeCell ref="B8:B10"/>
    <mergeCell ref="C8:C10"/>
    <mergeCell ref="D8:D10"/>
    <mergeCell ref="E8:E10"/>
    <mergeCell ref="F8:F10"/>
  </mergeCells>
  <phoneticPr fontId="9" type="noConversion"/>
  <printOptions horizontalCentered="1"/>
  <pageMargins left="0.19685039370078741" right="0.19685039370078741" top="0" bottom="0" header="0.98425196850393704" footer="0.51181102362204722"/>
  <pageSetup paperSize="9" scale="90" orientation="landscape" r:id="rId1"/>
  <headerFooter alignWithMargins="0"/>
  <rowBreaks count="1" manualBreakCount="1">
    <brk id="3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</sheetPr>
  <dimension ref="A1:I36"/>
  <sheetViews>
    <sheetView topLeftCell="A7" zoomScaleNormal="100" workbookViewId="0">
      <selection activeCell="I15" sqref="I15"/>
    </sheetView>
  </sheetViews>
  <sheetFormatPr defaultRowHeight="12.75" x14ac:dyDescent="0.2"/>
  <cols>
    <col min="1" max="1" width="6.42578125" customWidth="1"/>
    <col min="2" max="2" width="118.7109375" customWidth="1"/>
    <col min="3" max="3" width="13.28515625" customWidth="1"/>
    <col min="4" max="4" width="13" customWidth="1"/>
    <col min="5" max="5" width="13.28515625" customWidth="1"/>
    <col min="6" max="6" width="10.140625" customWidth="1"/>
    <col min="9" max="9" width="10.140625" bestFit="1" customWidth="1"/>
  </cols>
  <sheetData>
    <row r="1" spans="1:9" ht="14.25" x14ac:dyDescent="0.2">
      <c r="B1" s="493" t="s">
        <v>264</v>
      </c>
      <c r="C1" s="493"/>
      <c r="D1" s="493"/>
      <c r="E1" s="493"/>
      <c r="F1" s="493"/>
    </row>
    <row r="2" spans="1:9" ht="14.25" x14ac:dyDescent="0.2">
      <c r="A2" s="47"/>
      <c r="B2" s="493"/>
      <c r="C2" s="493"/>
      <c r="D2" s="493"/>
      <c r="E2" s="493"/>
      <c r="F2" s="493"/>
    </row>
    <row r="3" spans="1:9" ht="15.75" x14ac:dyDescent="0.25">
      <c r="A3" s="551" t="s">
        <v>238</v>
      </c>
      <c r="B3" s="551"/>
      <c r="C3" s="551"/>
      <c r="D3" s="551"/>
      <c r="E3" s="551"/>
      <c r="F3" s="551"/>
    </row>
    <row r="4" spans="1:9" ht="15.75" x14ac:dyDescent="0.25">
      <c r="A4" s="586" t="s">
        <v>94</v>
      </c>
      <c r="B4" s="586"/>
      <c r="C4" s="586"/>
      <c r="D4" s="586"/>
      <c r="E4" s="586"/>
      <c r="F4" s="586"/>
    </row>
    <row r="5" spans="1:9" ht="15.75" x14ac:dyDescent="0.25">
      <c r="A5" s="647" t="s">
        <v>257</v>
      </c>
      <c r="B5" s="647"/>
      <c r="C5" s="647"/>
      <c r="D5" s="647"/>
      <c r="E5" s="647"/>
      <c r="F5" s="647"/>
    </row>
    <row r="6" spans="1:9" ht="15.75" x14ac:dyDescent="0.25">
      <c r="A6" s="95"/>
      <c r="B6" s="95"/>
      <c r="C6" s="95"/>
      <c r="D6" s="95"/>
      <c r="E6" s="95"/>
      <c r="F6" s="95"/>
    </row>
    <row r="7" spans="1:9" ht="16.5" thickBot="1" x14ac:dyDescent="0.3">
      <c r="A7" s="46"/>
      <c r="B7" s="15"/>
      <c r="C7" s="10"/>
      <c r="D7" s="10"/>
      <c r="E7" s="10"/>
      <c r="F7" s="10" t="s">
        <v>201</v>
      </c>
    </row>
    <row r="8" spans="1:9" ht="49.5" customHeight="1" thickBot="1" x14ac:dyDescent="0.25">
      <c r="A8" s="270" t="s">
        <v>9</v>
      </c>
      <c r="B8" s="271" t="s">
        <v>95</v>
      </c>
      <c r="C8" s="272" t="s">
        <v>268</v>
      </c>
      <c r="D8" s="272" t="s">
        <v>266</v>
      </c>
      <c r="E8" s="272" t="s">
        <v>267</v>
      </c>
      <c r="F8" s="273" t="s">
        <v>112</v>
      </c>
    </row>
    <row r="9" spans="1:9" ht="21.95" customHeight="1" x14ac:dyDescent="0.2">
      <c r="A9" s="690" t="s">
        <v>244</v>
      </c>
      <c r="B9" s="691"/>
      <c r="C9" s="691"/>
      <c r="D9" s="691"/>
      <c r="E9" s="691"/>
      <c r="F9" s="692"/>
    </row>
    <row r="10" spans="1:9" ht="18" customHeight="1" x14ac:dyDescent="0.2">
      <c r="A10" s="433" t="s">
        <v>1</v>
      </c>
      <c r="B10" s="434" t="s">
        <v>212</v>
      </c>
      <c r="C10" s="200">
        <v>1905000</v>
      </c>
      <c r="D10" s="200">
        <v>3405000</v>
      </c>
      <c r="E10" s="426">
        <v>2401397</v>
      </c>
      <c r="F10" s="440">
        <f>+E10/D10*100</f>
        <v>70.525609397944194</v>
      </c>
    </row>
    <row r="11" spans="1:9" ht="18" customHeight="1" x14ac:dyDescent="0.2">
      <c r="A11" s="53" t="s">
        <v>2</v>
      </c>
      <c r="B11" s="280" t="s">
        <v>283</v>
      </c>
      <c r="C11" s="435">
        <v>15995670</v>
      </c>
      <c r="D11" s="435">
        <v>16235985</v>
      </c>
      <c r="E11" s="201">
        <v>16235985</v>
      </c>
      <c r="F11" s="80">
        <f t="shared" ref="F11:F31" si="0">+E11/D11*100</f>
        <v>100</v>
      </c>
    </row>
    <row r="12" spans="1:9" ht="18" customHeight="1" x14ac:dyDescent="0.2">
      <c r="A12" s="53" t="s">
        <v>4</v>
      </c>
      <c r="B12" s="280" t="s">
        <v>284</v>
      </c>
      <c r="C12" s="436">
        <v>52042084</v>
      </c>
      <c r="D12" s="436">
        <v>52042084</v>
      </c>
      <c r="E12" s="201">
        <v>36732323</v>
      </c>
      <c r="F12" s="80">
        <f t="shared" si="0"/>
        <v>70.581960169004759</v>
      </c>
    </row>
    <row r="13" spans="1:9" ht="18" customHeight="1" x14ac:dyDescent="0.2">
      <c r="A13" s="53" t="s">
        <v>5</v>
      </c>
      <c r="B13" s="281" t="s">
        <v>217</v>
      </c>
      <c r="C13" s="436">
        <v>10000000</v>
      </c>
      <c r="D13" s="436">
        <v>10793730</v>
      </c>
      <c r="E13" s="201">
        <v>10793730</v>
      </c>
      <c r="F13" s="80">
        <f t="shared" si="0"/>
        <v>100</v>
      </c>
      <c r="I13" s="455"/>
    </row>
    <row r="14" spans="1:9" ht="18" customHeight="1" x14ac:dyDescent="0.2">
      <c r="A14" s="53" t="s">
        <v>7</v>
      </c>
      <c r="B14" s="281" t="s">
        <v>285</v>
      </c>
      <c r="C14" s="436">
        <v>16230600</v>
      </c>
      <c r="D14" s="436">
        <v>16230600</v>
      </c>
      <c r="E14" s="201">
        <v>16230600</v>
      </c>
      <c r="F14" s="80">
        <f t="shared" si="0"/>
        <v>100</v>
      </c>
    </row>
    <row r="15" spans="1:9" s="96" customFormat="1" ht="18" customHeight="1" x14ac:dyDescent="0.2">
      <c r="A15" s="53" t="s">
        <v>27</v>
      </c>
      <c r="B15" s="280" t="s">
        <v>215</v>
      </c>
      <c r="C15" s="435">
        <v>11239500</v>
      </c>
      <c r="D15" s="435">
        <v>11239500</v>
      </c>
      <c r="E15" s="201">
        <v>11239500</v>
      </c>
      <c r="F15" s="80">
        <f t="shared" ref="F15" si="1">+E15/D15*100</f>
        <v>100</v>
      </c>
    </row>
    <row r="16" spans="1:9" ht="18" customHeight="1" x14ac:dyDescent="0.2">
      <c r="A16" s="53" t="s">
        <v>81</v>
      </c>
      <c r="B16" s="280" t="s">
        <v>286</v>
      </c>
      <c r="C16" s="435">
        <v>37287200</v>
      </c>
      <c r="D16" s="435">
        <v>37287200</v>
      </c>
      <c r="E16" s="201">
        <v>34239200</v>
      </c>
      <c r="F16" s="80">
        <f t="shared" si="0"/>
        <v>91.825613079019078</v>
      </c>
    </row>
    <row r="17" spans="1:6" s="255" customFormat="1" ht="18" customHeight="1" x14ac:dyDescent="0.2">
      <c r="A17" s="53" t="s">
        <v>82</v>
      </c>
      <c r="B17" s="280" t="s">
        <v>287</v>
      </c>
      <c r="C17" s="436">
        <v>16637000</v>
      </c>
      <c r="D17" s="436">
        <v>16637000</v>
      </c>
      <c r="E17" s="201">
        <v>16637000</v>
      </c>
      <c r="F17" s="80">
        <f t="shared" si="0"/>
        <v>100</v>
      </c>
    </row>
    <row r="18" spans="1:6" ht="18" customHeight="1" x14ac:dyDescent="0.2">
      <c r="A18" s="53" t="s">
        <v>93</v>
      </c>
      <c r="B18" s="280" t="s">
        <v>288</v>
      </c>
      <c r="C18" s="436">
        <v>10000000</v>
      </c>
      <c r="D18" s="436">
        <v>10000000</v>
      </c>
      <c r="E18" s="201">
        <v>7745688</v>
      </c>
      <c r="F18" s="80">
        <f t="shared" si="0"/>
        <v>77.456879999999998</v>
      </c>
    </row>
    <row r="19" spans="1:6" ht="18" customHeight="1" x14ac:dyDescent="0.2">
      <c r="A19" s="53" t="s">
        <v>128</v>
      </c>
      <c r="B19" s="280" t="s">
        <v>289</v>
      </c>
      <c r="C19" s="436">
        <v>5000000</v>
      </c>
      <c r="D19" s="436">
        <v>5000000</v>
      </c>
      <c r="E19" s="201">
        <v>0</v>
      </c>
      <c r="F19" s="80">
        <f t="shared" si="0"/>
        <v>0</v>
      </c>
    </row>
    <row r="20" spans="1:6" ht="18" customHeight="1" x14ac:dyDescent="0.2">
      <c r="A20" s="53" t="s">
        <v>129</v>
      </c>
      <c r="B20" s="281" t="s">
        <v>216</v>
      </c>
      <c r="C20" s="436">
        <v>27483222</v>
      </c>
      <c r="D20" s="436">
        <v>27483222</v>
      </c>
      <c r="E20" s="201">
        <v>0</v>
      </c>
      <c r="F20" s="80">
        <f t="shared" si="0"/>
        <v>0</v>
      </c>
    </row>
    <row r="21" spans="1:6" ht="18" customHeight="1" x14ac:dyDescent="0.2">
      <c r="A21" s="53" t="s">
        <v>133</v>
      </c>
      <c r="B21" s="281" t="s">
        <v>290</v>
      </c>
      <c r="C21" s="436">
        <v>380000</v>
      </c>
      <c r="D21" s="436">
        <v>533273</v>
      </c>
      <c r="E21" s="201">
        <v>533273</v>
      </c>
      <c r="F21" s="80">
        <f t="shared" si="0"/>
        <v>100</v>
      </c>
    </row>
    <row r="22" spans="1:6" ht="18" customHeight="1" x14ac:dyDescent="0.2">
      <c r="A22" s="53" t="s">
        <v>149</v>
      </c>
      <c r="B22" s="281" t="s">
        <v>291</v>
      </c>
      <c r="C22" s="436">
        <v>1700000</v>
      </c>
      <c r="D22" s="436">
        <v>1700000</v>
      </c>
      <c r="E22" s="201">
        <v>1109980</v>
      </c>
      <c r="F22" s="80">
        <f t="shared" si="0"/>
        <v>65.292941176470592</v>
      </c>
    </row>
    <row r="23" spans="1:6" ht="18" customHeight="1" x14ac:dyDescent="0.2">
      <c r="A23" s="53" t="s">
        <v>153</v>
      </c>
      <c r="B23" s="281" t="s">
        <v>218</v>
      </c>
      <c r="C23" s="435">
        <v>1000000</v>
      </c>
      <c r="D23" s="435">
        <v>1000000</v>
      </c>
      <c r="E23" s="201">
        <v>0</v>
      </c>
      <c r="F23" s="80">
        <f t="shared" si="0"/>
        <v>0</v>
      </c>
    </row>
    <row r="24" spans="1:6" ht="18" customHeight="1" x14ac:dyDescent="0.2">
      <c r="A24" s="437" t="s">
        <v>154</v>
      </c>
      <c r="B24" s="280" t="s">
        <v>185</v>
      </c>
      <c r="C24" s="436">
        <v>0</v>
      </c>
      <c r="D24" s="436">
        <v>2190750</v>
      </c>
      <c r="E24" s="201">
        <v>2063750</v>
      </c>
      <c r="F24" s="80">
        <f t="shared" si="0"/>
        <v>94.20289855072464</v>
      </c>
    </row>
    <row r="25" spans="1:6" ht="18" customHeight="1" x14ac:dyDescent="0.2">
      <c r="A25" s="437" t="s">
        <v>155</v>
      </c>
      <c r="B25" s="280" t="s">
        <v>237</v>
      </c>
      <c r="C25" s="436">
        <v>0</v>
      </c>
      <c r="D25" s="436">
        <v>30000000</v>
      </c>
      <c r="E25" s="201">
        <v>0</v>
      </c>
      <c r="F25" s="80">
        <f t="shared" si="0"/>
        <v>0</v>
      </c>
    </row>
    <row r="26" spans="1:6" s="54" customFormat="1" ht="21.95" customHeight="1" thickBot="1" x14ac:dyDescent="0.25">
      <c r="A26" s="693" t="s">
        <v>245</v>
      </c>
      <c r="B26" s="694"/>
      <c r="C26" s="274">
        <f>SUM(C10:C25)</f>
        <v>206900276</v>
      </c>
      <c r="D26" s="274">
        <f>SUM(D10:D25)</f>
        <v>241778344</v>
      </c>
      <c r="E26" s="274">
        <f>SUM(E10:E25)</f>
        <v>155962426</v>
      </c>
      <c r="F26" s="275">
        <f>+E26/D26*100</f>
        <v>64.506367038397784</v>
      </c>
    </row>
    <row r="27" spans="1:6" ht="21.95" customHeight="1" x14ac:dyDescent="0.2">
      <c r="A27" s="695" t="s">
        <v>246</v>
      </c>
      <c r="B27" s="696"/>
      <c r="C27" s="696"/>
      <c r="D27" s="696"/>
      <c r="E27" s="696"/>
      <c r="F27" s="697"/>
    </row>
    <row r="28" spans="1:6" s="85" customFormat="1" ht="18" customHeight="1" x14ac:dyDescent="0.2">
      <c r="A28" s="438" t="s">
        <v>1</v>
      </c>
      <c r="B28" s="52" t="s">
        <v>214</v>
      </c>
      <c r="C28" s="199">
        <v>635000</v>
      </c>
      <c r="D28" s="199">
        <v>2135000</v>
      </c>
      <c r="E28" s="202">
        <v>370980</v>
      </c>
      <c r="F28" s="84">
        <f t="shared" si="0"/>
        <v>17.376112412177985</v>
      </c>
    </row>
    <row r="29" spans="1:6" s="85" customFormat="1" ht="18" customHeight="1" x14ac:dyDescent="0.2">
      <c r="A29" s="438" t="s">
        <v>2</v>
      </c>
      <c r="B29" s="439" t="s">
        <v>292</v>
      </c>
      <c r="C29" s="199">
        <v>0</v>
      </c>
      <c r="D29" s="199">
        <v>1738000</v>
      </c>
      <c r="E29" s="432">
        <v>1735917</v>
      </c>
      <c r="F29" s="84">
        <f t="shared" si="0"/>
        <v>99.880149597238216</v>
      </c>
    </row>
    <row r="30" spans="1:6" s="54" customFormat="1" ht="21.95" customHeight="1" thickBot="1" x14ac:dyDescent="0.25">
      <c r="A30" s="698" t="s">
        <v>247</v>
      </c>
      <c r="B30" s="699"/>
      <c r="C30" s="276">
        <f>SUM(C28:C29)</f>
        <v>635000</v>
      </c>
      <c r="D30" s="276">
        <f t="shared" ref="D30:E30" si="2">SUM(D28:D29)</f>
        <v>3873000</v>
      </c>
      <c r="E30" s="276">
        <f t="shared" si="2"/>
        <v>2106897</v>
      </c>
      <c r="F30" s="277">
        <f t="shared" si="0"/>
        <v>54.399612703330746</v>
      </c>
    </row>
    <row r="31" spans="1:6" ht="21.95" customHeight="1" thickBot="1" x14ac:dyDescent="0.25">
      <c r="A31" s="688" t="s">
        <v>110</v>
      </c>
      <c r="B31" s="689"/>
      <c r="C31" s="278">
        <f>C26+C30</f>
        <v>207535276</v>
      </c>
      <c r="D31" s="278">
        <f>D26+D30</f>
        <v>245651344</v>
      </c>
      <c r="E31" s="278">
        <f>E26+E30</f>
        <v>158069323</v>
      </c>
      <c r="F31" s="279">
        <f t="shared" si="0"/>
        <v>64.347021443530139</v>
      </c>
    </row>
    <row r="32" spans="1:6" ht="21.95" customHeight="1" x14ac:dyDescent="0.2">
      <c r="A32" s="3"/>
      <c r="B32" s="3"/>
      <c r="C32" s="48"/>
      <c r="D32" s="48"/>
      <c r="E32" s="48"/>
      <c r="F32" s="48"/>
    </row>
    <row r="33" spans="5:5" ht="21.95" customHeight="1" x14ac:dyDescent="0.2">
      <c r="E33" s="455"/>
    </row>
    <row r="36" spans="5:5" x14ac:dyDescent="0.2">
      <c r="E36" s="455"/>
    </row>
  </sheetData>
  <mergeCells count="10">
    <mergeCell ref="B1:F1"/>
    <mergeCell ref="A3:F3"/>
    <mergeCell ref="A4:F4"/>
    <mergeCell ref="A5:F5"/>
    <mergeCell ref="B2:F2"/>
    <mergeCell ref="A31:B31"/>
    <mergeCell ref="A9:F9"/>
    <mergeCell ref="A26:B26"/>
    <mergeCell ref="A27:F27"/>
    <mergeCell ref="A30:B30"/>
  </mergeCells>
  <phoneticPr fontId="33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18</vt:i4>
      </vt:variant>
    </vt:vector>
  </HeadingPairs>
  <TitlesOfParts>
    <vt:vector size="28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'1.'!Nyomtatási_cím</vt:lpstr>
      <vt:lpstr>'10.'!Nyomtatási_cím</vt:lpstr>
      <vt:lpstr>'2.'!Nyomtatási_cím</vt:lpstr>
      <vt:lpstr>'3.'!Nyomtatási_cím</vt:lpstr>
      <vt:lpstr>'4.'!Nyomtatási_cím</vt:lpstr>
      <vt:lpstr>'5.'!Nyomtatási_cím</vt:lpstr>
      <vt:lpstr>'6.'!Nyomtatási_cím</vt:lpstr>
      <vt:lpstr>'7.'!Nyomtatási_cím</vt:lpstr>
      <vt:lpstr>'8.'!Nyomtatási_cím</vt:lpstr>
      <vt:lpstr>'1.'!Nyomtatási_terület</vt:lpstr>
      <vt:lpstr>'10.'!Nyomtatási_terület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  <vt:lpstr>'8.'!Nyomtatási_terület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2024-05-15T14:33:11Z</cp:lastPrinted>
  <dcterms:created xsi:type="dcterms:W3CDTF">2007-02-22T10:27:43Z</dcterms:created>
  <dcterms:modified xsi:type="dcterms:W3CDTF">2024-05-17T14:44:39Z</dcterms:modified>
</cp:coreProperties>
</file>