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.Norbert\Documents\2025. év\Közgyűlés\2025.03.28\Rendeletmódosítás\Jegyzői egyeztetés\"/>
    </mc:Choice>
  </mc:AlternateContent>
  <xr:revisionPtr revIDLastSave="0" documentId="13_ncr:1_{23D55B53-F693-4638-A82E-39B972CE28E7}" xr6:coauthVersionLast="47" xr6:coauthVersionMax="47" xr10:uidLastSave="{00000000-0000-0000-0000-000000000000}"/>
  <bookViews>
    <workbookView xWindow="28680" yWindow="-120" windowWidth="29040" windowHeight="15840" tabRatio="841" xr2:uid="{00000000-000D-0000-FFFF-FFFF00000000}"/>
  </bookViews>
  <sheets>
    <sheet name="1." sheetId="73" r:id="rId1"/>
    <sheet name="2." sheetId="74" r:id="rId2"/>
    <sheet name="3." sheetId="75" r:id="rId3"/>
    <sheet name="4." sheetId="77" r:id="rId4"/>
    <sheet name="5." sheetId="78" r:id="rId5"/>
    <sheet name="6." sheetId="76" r:id="rId6"/>
    <sheet name="7." sheetId="79" r:id="rId7"/>
    <sheet name="8." sheetId="80" r:id="rId8"/>
  </sheets>
  <externalReferences>
    <externalReference r:id="rId9"/>
  </externalReferences>
  <definedNames>
    <definedName name="_xlnm.Print_Titles" localSheetId="0">'1.'!$1:$11</definedName>
    <definedName name="_xlnm.Print_Titles" localSheetId="1">'2.'!$1:$11</definedName>
    <definedName name="_xlnm.Print_Titles" localSheetId="2">'3.'!$1:$11</definedName>
    <definedName name="_xlnm.Print_Titles" localSheetId="4">'5.'!$8:$12</definedName>
    <definedName name="_xlnm.Print_Titles" localSheetId="5">'6.'!$8:$11</definedName>
    <definedName name="_xlnm.Print_Area" localSheetId="0">'1.'!$A$1:$P$71</definedName>
    <definedName name="_xlnm.Print_Area" localSheetId="1">'2.'!$A$1:$P$71</definedName>
    <definedName name="_xlnm.Print_Area" localSheetId="2">'3.'!$A$1:$P$71</definedName>
    <definedName name="_xlnm.Print_Area" localSheetId="3">'4.'!$A$1:$L$34</definedName>
  </definedNames>
  <calcPr calcId="181029"/>
</workbook>
</file>

<file path=xl/calcChain.xml><?xml version="1.0" encoding="utf-8"?>
<calcChain xmlns="http://schemas.openxmlformats.org/spreadsheetml/2006/main">
  <c r="H19" i="76" l="1"/>
  <c r="F19" i="76"/>
  <c r="H16" i="76"/>
  <c r="G16" i="76"/>
  <c r="F16" i="76"/>
  <c r="H15" i="76"/>
  <c r="H12" i="76"/>
  <c r="F15" i="76"/>
  <c r="H45" i="76"/>
  <c r="G45" i="76"/>
  <c r="F45" i="76"/>
  <c r="G46" i="76"/>
  <c r="F46" i="76"/>
  <c r="F46" i="78"/>
  <c r="E23" i="77"/>
  <c r="J45" i="76" l="1"/>
  <c r="J23" i="77"/>
  <c r="G28" i="76"/>
  <c r="F28" i="76"/>
  <c r="H27" i="76"/>
  <c r="G25" i="78"/>
  <c r="E17" i="77"/>
  <c r="G19" i="78"/>
  <c r="E15" i="77"/>
  <c r="G13" i="78"/>
  <c r="E13" i="77"/>
  <c r="G34" i="76"/>
  <c r="F34" i="76"/>
  <c r="F33" i="76"/>
  <c r="H33" i="76"/>
  <c r="J33" i="76"/>
  <c r="G34" i="78"/>
  <c r="I34" i="78"/>
  <c r="J20" i="77"/>
  <c r="I20" i="77"/>
  <c r="F20" i="77"/>
  <c r="E20" i="77"/>
  <c r="F31" i="78"/>
  <c r="I19" i="77"/>
  <c r="E19" i="77"/>
  <c r="I39" i="76"/>
  <c r="I21" i="77"/>
  <c r="O59" i="73" l="1"/>
  <c r="O59" i="74"/>
  <c r="O31" i="74" l="1"/>
  <c r="N30" i="74" l="1"/>
  <c r="H18" i="76" l="1"/>
  <c r="F18" i="76"/>
  <c r="F12" i="76"/>
  <c r="H24" i="76"/>
  <c r="I17" i="77"/>
  <c r="I14" i="77" l="1"/>
  <c r="O30" i="74"/>
  <c r="F21" i="79"/>
  <c r="E23" i="79" l="1"/>
  <c r="D23" i="79"/>
  <c r="C23" i="79"/>
  <c r="F22" i="79"/>
  <c r="D29" i="79"/>
  <c r="E29" i="79"/>
  <c r="C29" i="79"/>
  <c r="F28" i="79"/>
  <c r="F19" i="80" l="1"/>
  <c r="E24" i="80"/>
  <c r="F24" i="80" s="1"/>
  <c r="D24" i="80"/>
  <c r="C24" i="80"/>
  <c r="F23" i="80"/>
  <c r="E21" i="80"/>
  <c r="D21" i="80"/>
  <c r="D25" i="80" s="1"/>
  <c r="C21" i="80"/>
  <c r="C25" i="80" s="1"/>
  <c r="F20" i="80"/>
  <c r="F18" i="80"/>
  <c r="F17" i="80"/>
  <c r="F16" i="80"/>
  <c r="F15" i="80"/>
  <c r="F14" i="80"/>
  <c r="F13" i="80"/>
  <c r="F12" i="80"/>
  <c r="F11" i="80"/>
  <c r="D30" i="79"/>
  <c r="C30" i="79"/>
  <c r="F27" i="79"/>
  <c r="F29" i="79" s="1"/>
  <c r="E24" i="79"/>
  <c r="D24" i="79"/>
  <c r="C24" i="79"/>
  <c r="C31" i="79" s="1"/>
  <c r="F20" i="79"/>
  <c r="F19" i="79"/>
  <c r="F18" i="79"/>
  <c r="F17" i="79"/>
  <c r="F16" i="79"/>
  <c r="F15" i="79"/>
  <c r="F14" i="79"/>
  <c r="F13" i="79"/>
  <c r="J67" i="76"/>
  <c r="I67" i="76"/>
  <c r="H67" i="76"/>
  <c r="G67" i="76"/>
  <c r="F67" i="76"/>
  <c r="J66" i="76"/>
  <c r="J68" i="76" s="1"/>
  <c r="I66" i="76"/>
  <c r="I68" i="76" s="1"/>
  <c r="H66" i="76"/>
  <c r="H68" i="76" s="1"/>
  <c r="G66" i="76"/>
  <c r="F66" i="76"/>
  <c r="K65" i="76"/>
  <c r="J65" i="76"/>
  <c r="I65" i="76"/>
  <c r="H65" i="76"/>
  <c r="G65" i="76"/>
  <c r="F65" i="76"/>
  <c r="K64" i="76"/>
  <c r="K63" i="76"/>
  <c r="K62" i="76"/>
  <c r="J62" i="76"/>
  <c r="I62" i="76"/>
  <c r="H62" i="76"/>
  <c r="G62" i="76"/>
  <c r="F62" i="76"/>
  <c r="K61" i="76"/>
  <c r="K60" i="76"/>
  <c r="K59" i="76"/>
  <c r="J59" i="76"/>
  <c r="I59" i="76"/>
  <c r="H59" i="76"/>
  <c r="G59" i="76"/>
  <c r="F59" i="76"/>
  <c r="K58" i="76"/>
  <c r="K57" i="76"/>
  <c r="K56" i="76"/>
  <c r="J56" i="76"/>
  <c r="I56" i="76"/>
  <c r="H56" i="76"/>
  <c r="G56" i="76"/>
  <c r="F56" i="76"/>
  <c r="K55" i="76"/>
  <c r="K54" i="76"/>
  <c r="K53" i="76"/>
  <c r="J53" i="76"/>
  <c r="I53" i="76"/>
  <c r="H53" i="76"/>
  <c r="G53" i="76"/>
  <c r="F53" i="76"/>
  <c r="K52" i="76"/>
  <c r="K51" i="76"/>
  <c r="K50" i="76"/>
  <c r="J50" i="76"/>
  <c r="I50" i="76"/>
  <c r="H50" i="76"/>
  <c r="G50" i="76"/>
  <c r="F50" i="76"/>
  <c r="K49" i="76"/>
  <c r="K48" i="76"/>
  <c r="J47" i="76"/>
  <c r="I47" i="76"/>
  <c r="H47" i="76"/>
  <c r="G47" i="76"/>
  <c r="F47" i="76"/>
  <c r="K46" i="76"/>
  <c r="K45" i="76"/>
  <c r="K44" i="76"/>
  <c r="J44" i="76"/>
  <c r="I44" i="76"/>
  <c r="H44" i="76"/>
  <c r="G44" i="76"/>
  <c r="F44" i="76"/>
  <c r="K43" i="76"/>
  <c r="K42" i="76"/>
  <c r="K41" i="76"/>
  <c r="J41" i="76"/>
  <c r="I41" i="76"/>
  <c r="H41" i="76"/>
  <c r="G41" i="76"/>
  <c r="F41" i="76"/>
  <c r="K40" i="76"/>
  <c r="K39" i="76"/>
  <c r="K38" i="76"/>
  <c r="J38" i="76"/>
  <c r="I38" i="76"/>
  <c r="H38" i="76"/>
  <c r="G38" i="76"/>
  <c r="F38" i="76"/>
  <c r="K37" i="76"/>
  <c r="K36" i="76"/>
  <c r="J35" i="76"/>
  <c r="I35" i="76"/>
  <c r="H35" i="76"/>
  <c r="G35" i="76"/>
  <c r="F35" i="76"/>
  <c r="K34" i="76"/>
  <c r="K33" i="76"/>
  <c r="K35" i="76" s="1"/>
  <c r="K32" i="76"/>
  <c r="J32" i="76"/>
  <c r="I32" i="76"/>
  <c r="H32" i="76"/>
  <c r="G32" i="76"/>
  <c r="F32" i="76"/>
  <c r="K31" i="76"/>
  <c r="K30" i="76"/>
  <c r="J29" i="76"/>
  <c r="I29" i="76"/>
  <c r="H29" i="76"/>
  <c r="G29" i="76"/>
  <c r="F29" i="76"/>
  <c r="K28" i="76"/>
  <c r="K27" i="76"/>
  <c r="J26" i="76"/>
  <c r="I26" i="76"/>
  <c r="H26" i="76"/>
  <c r="G26" i="76"/>
  <c r="F26" i="76"/>
  <c r="K25" i="76"/>
  <c r="K24" i="76"/>
  <c r="K26" i="76" s="1"/>
  <c r="K23" i="76"/>
  <c r="J23" i="76"/>
  <c r="I23" i="76"/>
  <c r="H23" i="76"/>
  <c r="G23" i="76"/>
  <c r="F23" i="76"/>
  <c r="K22" i="76"/>
  <c r="K21" i="76"/>
  <c r="J20" i="76"/>
  <c r="I20" i="76"/>
  <c r="H20" i="76"/>
  <c r="G20" i="76"/>
  <c r="F20" i="76"/>
  <c r="K19" i="76"/>
  <c r="K18" i="76"/>
  <c r="J17" i="76"/>
  <c r="I17" i="76"/>
  <c r="H17" i="76"/>
  <c r="G17" i="76"/>
  <c r="F17" i="76"/>
  <c r="K16" i="76"/>
  <c r="K15" i="76"/>
  <c r="K17" i="76" s="1"/>
  <c r="J14" i="76"/>
  <c r="I14" i="76"/>
  <c r="H14" i="76"/>
  <c r="G14" i="76"/>
  <c r="F14" i="76"/>
  <c r="K13" i="76"/>
  <c r="K12" i="76"/>
  <c r="K14" i="76" s="1"/>
  <c r="L68" i="78"/>
  <c r="J68" i="78"/>
  <c r="I68" i="78"/>
  <c r="H68" i="78"/>
  <c r="G68" i="78"/>
  <c r="F68" i="78"/>
  <c r="L67" i="78"/>
  <c r="L69" i="78" s="1"/>
  <c r="J67" i="78"/>
  <c r="J69" i="78" s="1"/>
  <c r="I67" i="78"/>
  <c r="I69" i="78" s="1"/>
  <c r="H67" i="78"/>
  <c r="H69" i="78" s="1"/>
  <c r="G67" i="78"/>
  <c r="G69" i="78" s="1"/>
  <c r="F67" i="78"/>
  <c r="F69" i="78" s="1"/>
  <c r="L66" i="78"/>
  <c r="J66" i="78"/>
  <c r="I66" i="78"/>
  <c r="H66" i="78"/>
  <c r="G66" i="78"/>
  <c r="F66" i="78"/>
  <c r="M65" i="78"/>
  <c r="K64" i="78"/>
  <c r="M64" i="78" s="1"/>
  <c r="L63" i="78"/>
  <c r="J63" i="78"/>
  <c r="I63" i="78"/>
  <c r="H63" i="78"/>
  <c r="G63" i="78"/>
  <c r="F63" i="78"/>
  <c r="M62" i="78"/>
  <c r="M61" i="78"/>
  <c r="K61" i="78"/>
  <c r="K63" i="78" s="1"/>
  <c r="M63" i="78" s="1"/>
  <c r="L60" i="78"/>
  <c r="J60" i="78"/>
  <c r="I60" i="78"/>
  <c r="H60" i="78"/>
  <c r="G60" i="78"/>
  <c r="F60" i="78"/>
  <c r="M59" i="78"/>
  <c r="M58" i="78"/>
  <c r="K58" i="78"/>
  <c r="K60" i="78" s="1"/>
  <c r="M60" i="78" s="1"/>
  <c r="L57" i="78"/>
  <c r="J57" i="78"/>
  <c r="I57" i="78"/>
  <c r="H57" i="78"/>
  <c r="G57" i="78"/>
  <c r="F57" i="78"/>
  <c r="M56" i="78"/>
  <c r="K55" i="78"/>
  <c r="K57" i="78" s="1"/>
  <c r="M57" i="78" s="1"/>
  <c r="L54" i="78"/>
  <c r="J54" i="78"/>
  <c r="I54" i="78"/>
  <c r="H54" i="78"/>
  <c r="G54" i="78"/>
  <c r="F54" i="78"/>
  <c r="M53" i="78"/>
  <c r="K53" i="78"/>
  <c r="K52" i="78"/>
  <c r="K54" i="78" s="1"/>
  <c r="M54" i="78" s="1"/>
  <c r="F52" i="78"/>
  <c r="L51" i="78"/>
  <c r="K51" i="78"/>
  <c r="M51" i="78" s="1"/>
  <c r="J51" i="78"/>
  <c r="I51" i="78"/>
  <c r="H51" i="78"/>
  <c r="G51" i="78"/>
  <c r="F51" i="78"/>
  <c r="K50" i="78"/>
  <c r="M50" i="78" s="1"/>
  <c r="M49" i="78"/>
  <c r="K49" i="78"/>
  <c r="L48" i="78"/>
  <c r="J48" i="78"/>
  <c r="I48" i="78"/>
  <c r="H48" i="78"/>
  <c r="G48" i="78"/>
  <c r="F48" i="78"/>
  <c r="M47" i="78"/>
  <c r="K46" i="78"/>
  <c r="M46" i="78" s="1"/>
  <c r="L45" i="78"/>
  <c r="J45" i="78"/>
  <c r="I45" i="78"/>
  <c r="H45" i="78"/>
  <c r="G45" i="78"/>
  <c r="F45" i="78"/>
  <c r="M44" i="78"/>
  <c r="K43" i="78"/>
  <c r="M43" i="78" s="1"/>
  <c r="L42" i="78"/>
  <c r="J42" i="78"/>
  <c r="I42" i="78"/>
  <c r="H42" i="78"/>
  <c r="G42" i="78"/>
  <c r="F42" i="78"/>
  <c r="M41" i="78"/>
  <c r="M40" i="78"/>
  <c r="K40" i="78"/>
  <c r="K42" i="78" s="1"/>
  <c r="M42" i="78" s="1"/>
  <c r="L39" i="78"/>
  <c r="J39" i="78"/>
  <c r="I39" i="78"/>
  <c r="H39" i="78"/>
  <c r="G39" i="78"/>
  <c r="F39" i="78"/>
  <c r="K38" i="78"/>
  <c r="K39" i="78" s="1"/>
  <c r="M39" i="78" s="1"/>
  <c r="M37" i="78"/>
  <c r="K37" i="78"/>
  <c r="L36" i="78"/>
  <c r="J36" i="78"/>
  <c r="I36" i="78"/>
  <c r="H36" i="78"/>
  <c r="G36" i="78"/>
  <c r="F36" i="78"/>
  <c r="M35" i="78"/>
  <c r="K34" i="78"/>
  <c r="K36" i="78" s="1"/>
  <c r="M36" i="78" s="1"/>
  <c r="L33" i="78"/>
  <c r="J33" i="78"/>
  <c r="I33" i="78"/>
  <c r="H33" i="78"/>
  <c r="G33" i="78"/>
  <c r="F33" i="78"/>
  <c r="M32" i="78"/>
  <c r="K31" i="78"/>
  <c r="M31" i="78" s="1"/>
  <c r="L30" i="78"/>
  <c r="J30" i="78"/>
  <c r="I30" i="78"/>
  <c r="H30" i="78"/>
  <c r="G30" i="78"/>
  <c r="F30" i="78"/>
  <c r="M29" i="78"/>
  <c r="K28" i="78"/>
  <c r="M28" i="78" s="1"/>
  <c r="L27" i="78"/>
  <c r="J27" i="78"/>
  <c r="I27" i="78"/>
  <c r="H27" i="78"/>
  <c r="G27" i="78"/>
  <c r="M26" i="78"/>
  <c r="F25" i="78"/>
  <c r="F27" i="78" s="1"/>
  <c r="L24" i="78"/>
  <c r="I24" i="78"/>
  <c r="H24" i="78"/>
  <c r="G24" i="78"/>
  <c r="F24" i="78"/>
  <c r="M23" i="78"/>
  <c r="J22" i="78"/>
  <c r="J24" i="78" s="1"/>
  <c r="L21" i="78"/>
  <c r="J21" i="78"/>
  <c r="I21" i="78"/>
  <c r="H21" i="78"/>
  <c r="G21" i="78"/>
  <c r="M20" i="78"/>
  <c r="F19" i="78"/>
  <c r="F21" i="78" s="1"/>
  <c r="L18" i="78"/>
  <c r="I18" i="78"/>
  <c r="H18" i="78"/>
  <c r="G18" i="78"/>
  <c r="F18" i="78"/>
  <c r="M17" i="78"/>
  <c r="J16" i="78"/>
  <c r="J18" i="78" s="1"/>
  <c r="L15" i="78"/>
  <c r="I15" i="78"/>
  <c r="H15" i="78"/>
  <c r="G15" i="78"/>
  <c r="F15" i="78"/>
  <c r="M14" i="78"/>
  <c r="J13" i="78"/>
  <c r="K13" i="78" s="1"/>
  <c r="L33" i="77"/>
  <c r="K33" i="77"/>
  <c r="J33" i="77"/>
  <c r="I33" i="77"/>
  <c r="G33" i="77"/>
  <c r="F33" i="77"/>
  <c r="E33" i="77"/>
  <c r="K32" i="77"/>
  <c r="H32" i="77"/>
  <c r="H33" i="77" s="1"/>
  <c r="J30" i="77"/>
  <c r="J34" i="77" s="1"/>
  <c r="F30" i="77"/>
  <c r="F34" i="77" s="1"/>
  <c r="E30" i="77"/>
  <c r="E34" i="77" s="1"/>
  <c r="K29" i="77"/>
  <c r="L29" i="77" s="1"/>
  <c r="H29" i="77"/>
  <c r="L28" i="77"/>
  <c r="K28" i="77"/>
  <c r="H28" i="77"/>
  <c r="K27" i="77"/>
  <c r="L27" i="77" s="1"/>
  <c r="H27" i="77"/>
  <c r="K26" i="77"/>
  <c r="L26" i="77" s="1"/>
  <c r="H26" i="77"/>
  <c r="I25" i="77"/>
  <c r="K25" i="77" s="1"/>
  <c r="L25" i="77" s="1"/>
  <c r="H25" i="77"/>
  <c r="E25" i="77"/>
  <c r="K24" i="77"/>
  <c r="L24" i="77" s="1"/>
  <c r="H24" i="77"/>
  <c r="K23" i="77"/>
  <c r="H23" i="77"/>
  <c r="L22" i="77"/>
  <c r="K22" i="77"/>
  <c r="H22" i="77"/>
  <c r="K21" i="77"/>
  <c r="H21" i="77"/>
  <c r="K20" i="77"/>
  <c r="H20" i="77"/>
  <c r="K19" i="77"/>
  <c r="H19" i="77"/>
  <c r="K18" i="77"/>
  <c r="H18" i="77"/>
  <c r="K17" i="77"/>
  <c r="H17" i="77"/>
  <c r="K16" i="77"/>
  <c r="I16" i="77"/>
  <c r="G16" i="77"/>
  <c r="H16" i="77" s="1"/>
  <c r="K15" i="77"/>
  <c r="I15" i="77"/>
  <c r="H15" i="77"/>
  <c r="K14" i="77"/>
  <c r="G14" i="77"/>
  <c r="H14" i="77" s="1"/>
  <c r="I13" i="77"/>
  <c r="K13" i="77" s="1"/>
  <c r="H13" i="77"/>
  <c r="G13" i="77"/>
  <c r="M64" i="74"/>
  <c r="K20" i="76" l="1"/>
  <c r="F68" i="76"/>
  <c r="K67" i="76"/>
  <c r="K29" i="76"/>
  <c r="M34" i="78"/>
  <c r="K47" i="76"/>
  <c r="G68" i="76"/>
  <c r="K66" i="76"/>
  <c r="F23" i="79"/>
  <c r="F24" i="79" s="1"/>
  <c r="D31" i="79"/>
  <c r="F21" i="80"/>
  <c r="E25" i="80"/>
  <c r="F25" i="80" s="1"/>
  <c r="E30" i="79"/>
  <c r="F30" i="79" s="1"/>
  <c r="M13" i="78"/>
  <c r="K15" i="78"/>
  <c r="M15" i="78" s="1"/>
  <c r="K48" i="78"/>
  <c r="M48" i="78" s="1"/>
  <c r="J15" i="78"/>
  <c r="K30" i="78"/>
  <c r="M30" i="78" s="1"/>
  <c r="M38" i="78"/>
  <c r="M68" i="78" s="1"/>
  <c r="K45" i="78"/>
  <c r="M45" i="78" s="1"/>
  <c r="M52" i="78"/>
  <c r="M55" i="78"/>
  <c r="K66" i="78"/>
  <c r="M66" i="78" s="1"/>
  <c r="K68" i="78"/>
  <c r="K16" i="78"/>
  <c r="K19" i="78"/>
  <c r="K22" i="78"/>
  <c r="K25" i="78"/>
  <c r="K33" i="78"/>
  <c r="M33" i="78" s="1"/>
  <c r="H30" i="77"/>
  <c r="H34" i="77" s="1"/>
  <c r="K30" i="77"/>
  <c r="K34" i="77" s="1"/>
  <c r="I30" i="77"/>
  <c r="I34" i="77" s="1"/>
  <c r="G30" i="77"/>
  <c r="G34" i="77" s="1"/>
  <c r="K68" i="76" l="1"/>
  <c r="F31" i="79"/>
  <c r="E31" i="79"/>
  <c r="M22" i="78"/>
  <c r="K24" i="78"/>
  <c r="M24" i="78" s="1"/>
  <c r="M19" i="78"/>
  <c r="K21" i="78"/>
  <c r="M21" i="78" s="1"/>
  <c r="K67" i="78"/>
  <c r="K69" i="78" s="1"/>
  <c r="M16" i="78"/>
  <c r="K18" i="78"/>
  <c r="M18" i="78" s="1"/>
  <c r="M25" i="78"/>
  <c r="K27" i="78"/>
  <c r="M27" i="78" s="1"/>
  <c r="L30" i="77"/>
  <c r="L34" i="77" s="1"/>
  <c r="M67" i="78" l="1"/>
  <c r="M69" i="78" s="1"/>
  <c r="G56" i="74"/>
  <c r="G44" i="73"/>
  <c r="G23" i="73" l="1"/>
  <c r="G21" i="73"/>
  <c r="G27" i="73" l="1"/>
  <c r="G15" i="73"/>
  <c r="O67" i="73" l="1"/>
  <c r="N67" i="73"/>
  <c r="P67" i="73" s="1"/>
  <c r="M67" i="73"/>
  <c r="M65" i="73" s="1"/>
  <c r="O53" i="73"/>
  <c r="O54" i="73"/>
  <c r="N53" i="73"/>
  <c r="N54" i="73"/>
  <c r="N52" i="73"/>
  <c r="O52" i="73"/>
  <c r="M53" i="73"/>
  <c r="M54" i="73"/>
  <c r="M52" i="73"/>
  <c r="O45" i="73"/>
  <c r="O46" i="73"/>
  <c r="O49" i="73"/>
  <c r="O50" i="73"/>
  <c r="N49" i="73"/>
  <c r="N57" i="73" s="1"/>
  <c r="N50" i="73"/>
  <c r="M49" i="73"/>
  <c r="M50" i="73"/>
  <c r="N48" i="73"/>
  <c r="O48" i="73"/>
  <c r="M48" i="73"/>
  <c r="N45" i="73"/>
  <c r="N46" i="73"/>
  <c r="M45" i="73"/>
  <c r="M46" i="73"/>
  <c r="N44" i="73"/>
  <c r="O44" i="73"/>
  <c r="M44" i="73"/>
  <c r="N35" i="73"/>
  <c r="O32" i="73"/>
  <c r="O33" i="73"/>
  <c r="O34" i="73"/>
  <c r="O35" i="73"/>
  <c r="N32" i="73"/>
  <c r="N33" i="73"/>
  <c r="N34" i="73"/>
  <c r="N31" i="73"/>
  <c r="O31" i="73"/>
  <c r="M32" i="73"/>
  <c r="M33" i="73"/>
  <c r="M34" i="73"/>
  <c r="M35" i="73"/>
  <c r="M31" i="73"/>
  <c r="O28" i="73"/>
  <c r="O29" i="73"/>
  <c r="N28" i="73"/>
  <c r="N29" i="73"/>
  <c r="N27" i="73"/>
  <c r="O27" i="73"/>
  <c r="M28" i="73"/>
  <c r="M29" i="73"/>
  <c r="M27" i="73"/>
  <c r="O25" i="73"/>
  <c r="O24" i="73"/>
  <c r="N24" i="73"/>
  <c r="N25" i="73"/>
  <c r="N23" i="73"/>
  <c r="O23" i="73"/>
  <c r="M24" i="73"/>
  <c r="M25" i="73"/>
  <c r="M23" i="73"/>
  <c r="O20" i="73"/>
  <c r="O21" i="73"/>
  <c r="N20" i="73"/>
  <c r="N21" i="73"/>
  <c r="N19" i="73"/>
  <c r="O19" i="73"/>
  <c r="M20" i="73"/>
  <c r="M21" i="73"/>
  <c r="M19" i="73"/>
  <c r="O16" i="73"/>
  <c r="O17" i="73"/>
  <c r="N16" i="73"/>
  <c r="N17" i="73"/>
  <c r="N15" i="73"/>
  <c r="O15" i="73"/>
  <c r="M16" i="73"/>
  <c r="M17" i="73"/>
  <c r="M15" i="73"/>
  <c r="E71" i="73"/>
  <c r="E70" i="73"/>
  <c r="G67" i="73"/>
  <c r="F67" i="73"/>
  <c r="F66" i="73"/>
  <c r="E66" i="73"/>
  <c r="E67" i="73"/>
  <c r="G66" i="73"/>
  <c r="G53" i="73"/>
  <c r="G54" i="73"/>
  <c r="G52" i="73"/>
  <c r="G49" i="73"/>
  <c r="G50" i="73"/>
  <c r="G48" i="73"/>
  <c r="G47" i="73" s="1"/>
  <c r="G45" i="73"/>
  <c r="G46" i="73"/>
  <c r="F53" i="73"/>
  <c r="F54" i="73"/>
  <c r="H54" i="73" s="1"/>
  <c r="F52" i="73"/>
  <c r="F49" i="73"/>
  <c r="F50" i="73"/>
  <c r="F48" i="73"/>
  <c r="F45" i="73"/>
  <c r="F46" i="73"/>
  <c r="F44" i="73"/>
  <c r="H44" i="73" s="1"/>
  <c r="E53" i="73"/>
  <c r="E54" i="73"/>
  <c r="E52" i="73"/>
  <c r="E49" i="73"/>
  <c r="E50" i="73"/>
  <c r="E48" i="73"/>
  <c r="E45" i="73"/>
  <c r="E46" i="73"/>
  <c r="E44" i="73"/>
  <c r="H66" i="73" l="1"/>
  <c r="N39" i="73"/>
  <c r="M57" i="73"/>
  <c r="G58" i="73"/>
  <c r="H50" i="73"/>
  <c r="H58" i="73" s="1"/>
  <c r="H53" i="73"/>
  <c r="M56" i="73"/>
  <c r="P53" i="73"/>
  <c r="H46" i="73"/>
  <c r="P52" i="73"/>
  <c r="M38" i="73"/>
  <c r="M62" i="73" s="1"/>
  <c r="G43" i="73"/>
  <c r="G42" i="73" s="1"/>
  <c r="M39" i="73"/>
  <c r="O56" i="73"/>
  <c r="O51" i="73"/>
  <c r="G57" i="73"/>
  <c r="H48" i="73"/>
  <c r="M58" i="73"/>
  <c r="F58" i="73"/>
  <c r="O58" i="73"/>
  <c r="F57" i="73"/>
  <c r="H49" i="73"/>
  <c r="N58" i="73"/>
  <c r="N63" i="73" s="1"/>
  <c r="N71" i="73" s="1"/>
  <c r="O57" i="73"/>
  <c r="E56" i="73"/>
  <c r="G51" i="73"/>
  <c r="O39" i="73"/>
  <c r="M51" i="73"/>
  <c r="H52" i="73"/>
  <c r="H56" i="73" s="1"/>
  <c r="N56" i="73"/>
  <c r="N38" i="73"/>
  <c r="N62" i="73" s="1"/>
  <c r="N37" i="73"/>
  <c r="H45" i="73"/>
  <c r="F56" i="73"/>
  <c r="G56" i="73"/>
  <c r="O38" i="73"/>
  <c r="N51" i="73"/>
  <c r="O37" i="73"/>
  <c r="N26" i="73"/>
  <c r="M26" i="73"/>
  <c r="H67" i="73"/>
  <c r="F65" i="73"/>
  <c r="E18" i="75"/>
  <c r="F29" i="73"/>
  <c r="F28" i="73"/>
  <c r="F27" i="73"/>
  <c r="F24" i="73"/>
  <c r="F25" i="73"/>
  <c r="F23" i="73"/>
  <c r="F20" i="73"/>
  <c r="F21" i="73"/>
  <c r="F19" i="73"/>
  <c r="F16" i="73"/>
  <c r="F17" i="73"/>
  <c r="F15" i="73"/>
  <c r="H15" i="73" s="1"/>
  <c r="E28" i="73"/>
  <c r="E29" i="73"/>
  <c r="E27" i="73"/>
  <c r="E24" i="73"/>
  <c r="E25" i="73"/>
  <c r="E23" i="73"/>
  <c r="E20" i="73"/>
  <c r="E21" i="73"/>
  <c r="E19" i="73"/>
  <c r="E16" i="73"/>
  <c r="E17" i="73"/>
  <c r="E15" i="73"/>
  <c r="H57" i="73" l="1"/>
  <c r="M63" i="73"/>
  <c r="F38" i="73"/>
  <c r="E39" i="73"/>
  <c r="G55" i="73"/>
  <c r="E37" i="73"/>
  <c r="N61" i="73"/>
  <c r="N36" i="73"/>
  <c r="E38" i="73"/>
  <c r="F39" i="73"/>
  <c r="F63" i="73" s="1"/>
  <c r="F18" i="73"/>
  <c r="O39" i="75" l="1"/>
  <c r="O38" i="75"/>
  <c r="O37" i="75"/>
  <c r="H67" i="75"/>
  <c r="H66" i="75"/>
  <c r="P65" i="75"/>
  <c r="O65" i="75"/>
  <c r="N65" i="75"/>
  <c r="G65" i="75"/>
  <c r="F65" i="75"/>
  <c r="E65" i="75"/>
  <c r="E63" i="75"/>
  <c r="E62" i="75"/>
  <c r="O58" i="75"/>
  <c r="N58" i="75"/>
  <c r="M58" i="75"/>
  <c r="G58" i="75"/>
  <c r="F58" i="75"/>
  <c r="O57" i="75"/>
  <c r="O62" i="75" s="1"/>
  <c r="O70" i="75" s="1"/>
  <c r="N57" i="75"/>
  <c r="M57" i="75"/>
  <c r="G57" i="75"/>
  <c r="F57" i="75"/>
  <c r="O56" i="75"/>
  <c r="N56" i="75"/>
  <c r="M56" i="75"/>
  <c r="G56" i="75"/>
  <c r="F56" i="75"/>
  <c r="P54" i="75"/>
  <c r="H54" i="75"/>
  <c r="P53" i="75"/>
  <c r="H53" i="75"/>
  <c r="P52" i="75"/>
  <c r="H52" i="75"/>
  <c r="O51" i="75"/>
  <c r="N51" i="75"/>
  <c r="M51" i="75"/>
  <c r="G51" i="75"/>
  <c r="F51" i="75"/>
  <c r="P50" i="75"/>
  <c r="H50" i="75"/>
  <c r="P49" i="75"/>
  <c r="H49" i="75"/>
  <c r="P48" i="75"/>
  <c r="H48" i="75"/>
  <c r="O47" i="75"/>
  <c r="N47" i="75"/>
  <c r="M47" i="75"/>
  <c r="G47" i="75"/>
  <c r="F47" i="75"/>
  <c r="P46" i="75"/>
  <c r="H46" i="75"/>
  <c r="P45" i="75"/>
  <c r="H45" i="75"/>
  <c r="P44" i="75"/>
  <c r="H44" i="75"/>
  <c r="O43" i="75"/>
  <c r="N43" i="75"/>
  <c r="M43" i="75"/>
  <c r="G43" i="75"/>
  <c r="F43" i="75"/>
  <c r="N39" i="75"/>
  <c r="M39" i="75"/>
  <c r="M63" i="75" s="1"/>
  <c r="G39" i="75"/>
  <c r="F39" i="75"/>
  <c r="N38" i="75"/>
  <c r="N62" i="75" s="1"/>
  <c r="N70" i="75" s="1"/>
  <c r="M38" i="75"/>
  <c r="M62" i="75" s="1"/>
  <c r="G38" i="75"/>
  <c r="F38" i="75"/>
  <c r="N37" i="75"/>
  <c r="M37" i="75"/>
  <c r="M61" i="75" s="1"/>
  <c r="G37" i="75"/>
  <c r="F37" i="75"/>
  <c r="E37" i="75"/>
  <c r="E36" i="75" s="1"/>
  <c r="P35" i="75"/>
  <c r="P34" i="75"/>
  <c r="P33" i="75"/>
  <c r="P32" i="75"/>
  <c r="P31" i="75"/>
  <c r="O30" i="75"/>
  <c r="N30" i="75"/>
  <c r="M30" i="75"/>
  <c r="P29" i="75"/>
  <c r="H29" i="75"/>
  <c r="P28" i="75"/>
  <c r="H28" i="75"/>
  <c r="P27" i="75"/>
  <c r="H27" i="75"/>
  <c r="O26" i="75"/>
  <c r="N26" i="75"/>
  <c r="M26" i="75"/>
  <c r="G26" i="75"/>
  <c r="F26" i="75"/>
  <c r="E26" i="75"/>
  <c r="P25" i="75"/>
  <c r="H25" i="75"/>
  <c r="P24" i="75"/>
  <c r="H24" i="75"/>
  <c r="P23" i="75"/>
  <c r="H23" i="75"/>
  <c r="O22" i="75"/>
  <c r="N22" i="75"/>
  <c r="M22" i="75"/>
  <c r="G22" i="75"/>
  <c r="F22" i="75"/>
  <c r="E22" i="75"/>
  <c r="P21" i="75"/>
  <c r="H21" i="75"/>
  <c r="P20" i="75"/>
  <c r="H20" i="75"/>
  <c r="P19" i="75"/>
  <c r="O18" i="75"/>
  <c r="H19" i="75"/>
  <c r="N18" i="75"/>
  <c r="M18" i="75"/>
  <c r="G18" i="75"/>
  <c r="F18" i="75"/>
  <c r="P17" i="75"/>
  <c r="H17" i="75"/>
  <c r="P16" i="75"/>
  <c r="H16" i="75"/>
  <c r="P15" i="75"/>
  <c r="O14" i="75"/>
  <c r="H15" i="75"/>
  <c r="N14" i="75"/>
  <c r="M14" i="75"/>
  <c r="G14" i="75"/>
  <c r="F14" i="75"/>
  <c r="E14" i="75"/>
  <c r="P67" i="74"/>
  <c r="H67" i="74"/>
  <c r="P66" i="74"/>
  <c r="H66" i="74"/>
  <c r="N65" i="74"/>
  <c r="M65" i="74"/>
  <c r="G65" i="74"/>
  <c r="F65" i="74"/>
  <c r="E65" i="74"/>
  <c r="O58" i="74"/>
  <c r="N58" i="74"/>
  <c r="M58" i="74"/>
  <c r="G58" i="74"/>
  <c r="F58" i="74"/>
  <c r="E58" i="74"/>
  <c r="O57" i="74"/>
  <c r="N57" i="74"/>
  <c r="G57" i="74"/>
  <c r="F57" i="74"/>
  <c r="E57" i="74"/>
  <c r="N56" i="74"/>
  <c r="M56" i="74"/>
  <c r="F56" i="74"/>
  <c r="E56" i="74"/>
  <c r="P54" i="74"/>
  <c r="H54" i="74"/>
  <c r="P53" i="74"/>
  <c r="H53" i="74"/>
  <c r="P52" i="74"/>
  <c r="H52" i="74"/>
  <c r="O51" i="74"/>
  <c r="N51" i="74"/>
  <c r="M51" i="74"/>
  <c r="G51" i="74"/>
  <c r="F51" i="74"/>
  <c r="E51" i="74"/>
  <c r="P50" i="74"/>
  <c r="H50" i="74"/>
  <c r="P49" i="74"/>
  <c r="H49" i="74"/>
  <c r="P48" i="74"/>
  <c r="H48" i="74"/>
  <c r="O47" i="74"/>
  <c r="N47" i="74"/>
  <c r="M47" i="74"/>
  <c r="G47" i="74"/>
  <c r="F47" i="74"/>
  <c r="E47" i="74"/>
  <c r="P46" i="74"/>
  <c r="P58" i="74" s="1"/>
  <c r="H46" i="74"/>
  <c r="H58" i="74" s="1"/>
  <c r="P45" i="74"/>
  <c r="P57" i="74" s="1"/>
  <c r="H45" i="74"/>
  <c r="H57" i="74" s="1"/>
  <c r="O43" i="74"/>
  <c r="H44" i="74"/>
  <c r="N43" i="74"/>
  <c r="M43" i="74"/>
  <c r="G43" i="74"/>
  <c r="F43" i="74"/>
  <c r="E43" i="74"/>
  <c r="O39" i="74"/>
  <c r="O63" i="74" s="1"/>
  <c r="O71" i="74" s="1"/>
  <c r="N39" i="74"/>
  <c r="N63" i="74" s="1"/>
  <c r="N71" i="74" s="1"/>
  <c r="G39" i="74"/>
  <c r="F39" i="74"/>
  <c r="F63" i="74" s="1"/>
  <c r="F71" i="74" s="1"/>
  <c r="N38" i="74"/>
  <c r="M38" i="74"/>
  <c r="M62" i="74" s="1"/>
  <c r="M70" i="74" s="1"/>
  <c r="G38" i="74"/>
  <c r="G62" i="74" s="1"/>
  <c r="G70" i="74" s="1"/>
  <c r="F38" i="74"/>
  <c r="N37" i="74"/>
  <c r="M37" i="74"/>
  <c r="G37" i="74"/>
  <c r="F37" i="74"/>
  <c r="E37" i="74"/>
  <c r="E36" i="74" s="1"/>
  <c r="P35" i="74"/>
  <c r="O38" i="74"/>
  <c r="O62" i="74" s="1"/>
  <c r="O70" i="74" s="1"/>
  <c r="P33" i="74"/>
  <c r="P32" i="74"/>
  <c r="M30" i="74"/>
  <c r="P29" i="74"/>
  <c r="H29" i="74"/>
  <c r="P28" i="74"/>
  <c r="H28" i="74"/>
  <c r="P27" i="74"/>
  <c r="H27" i="74"/>
  <c r="O26" i="74"/>
  <c r="N26" i="74"/>
  <c r="G26" i="74"/>
  <c r="F26" i="74"/>
  <c r="E26" i="74"/>
  <c r="P25" i="74"/>
  <c r="H25" i="74"/>
  <c r="P24" i="74"/>
  <c r="H24" i="74"/>
  <c r="O22" i="74"/>
  <c r="H23" i="74"/>
  <c r="N22" i="74"/>
  <c r="M22" i="74"/>
  <c r="G22" i="74"/>
  <c r="F22" i="74"/>
  <c r="E22" i="74"/>
  <c r="P21" i="74"/>
  <c r="H21" i="74"/>
  <c r="P20" i="74"/>
  <c r="H20" i="74"/>
  <c r="P19" i="74"/>
  <c r="H19" i="74"/>
  <c r="O18" i="74"/>
  <c r="N18" i="74"/>
  <c r="M18" i="74"/>
  <c r="G18" i="74"/>
  <c r="F18" i="74"/>
  <c r="P17" i="74"/>
  <c r="H17" i="74"/>
  <c r="P16" i="74"/>
  <c r="H16" i="74"/>
  <c r="O14" i="74"/>
  <c r="H15" i="74"/>
  <c r="G14" i="74"/>
  <c r="N14" i="74"/>
  <c r="M14" i="74"/>
  <c r="F14" i="74"/>
  <c r="E14" i="74"/>
  <c r="O65" i="73"/>
  <c r="N65" i="73"/>
  <c r="P66" i="73"/>
  <c r="G65" i="73"/>
  <c r="E65" i="73"/>
  <c r="N70" i="73"/>
  <c r="F55" i="73"/>
  <c r="P54" i="73"/>
  <c r="F47" i="73"/>
  <c r="P46" i="73"/>
  <c r="E58" i="73"/>
  <c r="P45" i="73"/>
  <c r="E57" i="73"/>
  <c r="F62" i="73"/>
  <c r="P34" i="73"/>
  <c r="G29" i="73"/>
  <c r="G28" i="73"/>
  <c r="F26" i="73"/>
  <c r="G25" i="73"/>
  <c r="H25" i="73" s="1"/>
  <c r="G24" i="73"/>
  <c r="E22" i="73"/>
  <c r="H23" i="73"/>
  <c r="F22" i="73"/>
  <c r="H21" i="73"/>
  <c r="G20" i="73"/>
  <c r="H20" i="73" s="1"/>
  <c r="G19" i="73"/>
  <c r="F37" i="73"/>
  <c r="E18" i="73"/>
  <c r="G17" i="73"/>
  <c r="H17" i="73" s="1"/>
  <c r="G16" i="73"/>
  <c r="E14" i="73"/>
  <c r="F61" i="74" l="1"/>
  <c r="F69" i="74" s="1"/>
  <c r="H14" i="75"/>
  <c r="H22" i="75"/>
  <c r="H26" i="75"/>
  <c r="N42" i="75"/>
  <c r="M42" i="75"/>
  <c r="H43" i="74"/>
  <c r="H47" i="74"/>
  <c r="H51" i="74"/>
  <c r="P18" i="75"/>
  <c r="P22" i="75"/>
  <c r="P51" i="75"/>
  <c r="P26" i="74"/>
  <c r="M42" i="74"/>
  <c r="F63" i="75"/>
  <c r="F71" i="75" s="1"/>
  <c r="F71" i="73" s="1"/>
  <c r="P30" i="75"/>
  <c r="H18" i="74"/>
  <c r="H57" i="75"/>
  <c r="P47" i="74"/>
  <c r="P51" i="74"/>
  <c r="H38" i="75"/>
  <c r="N63" i="75"/>
  <c r="N71" i="75" s="1"/>
  <c r="M55" i="75"/>
  <c r="E59" i="75" s="1"/>
  <c r="P26" i="75"/>
  <c r="F42" i="75"/>
  <c r="P65" i="74"/>
  <c r="G61" i="75"/>
  <c r="G69" i="75" s="1"/>
  <c r="O55" i="75"/>
  <c r="G59" i="75" s="1"/>
  <c r="O63" i="75"/>
  <c r="O71" i="75" s="1"/>
  <c r="H65" i="74"/>
  <c r="P39" i="75"/>
  <c r="G37" i="73"/>
  <c r="G61" i="73" s="1"/>
  <c r="G69" i="73" s="1"/>
  <c r="G18" i="73"/>
  <c r="O42" i="75"/>
  <c r="P14" i="75"/>
  <c r="P38" i="75"/>
  <c r="P62" i="75" s="1"/>
  <c r="P70" i="75" s="1"/>
  <c r="H43" i="75"/>
  <c r="G63" i="74"/>
  <c r="G71" i="74" s="1"/>
  <c r="G63" i="75"/>
  <c r="G71" i="75" s="1"/>
  <c r="P56" i="75"/>
  <c r="H51" i="75"/>
  <c r="E55" i="74"/>
  <c r="F61" i="75"/>
  <c r="P57" i="75"/>
  <c r="H47" i="75"/>
  <c r="F55" i="75"/>
  <c r="P47" i="75"/>
  <c r="H14" i="74"/>
  <c r="G36" i="74"/>
  <c r="G55" i="74"/>
  <c r="P58" i="75"/>
  <c r="G55" i="75"/>
  <c r="P39" i="74"/>
  <c r="P63" i="74" s="1"/>
  <c r="P71" i="74" s="1"/>
  <c r="F55" i="74"/>
  <c r="H58" i="75"/>
  <c r="H38" i="74"/>
  <c r="H62" i="74" s="1"/>
  <c r="H70" i="74" s="1"/>
  <c r="M55" i="74"/>
  <c r="F13" i="75"/>
  <c r="N36" i="75"/>
  <c r="H56" i="75"/>
  <c r="H55" i="75" s="1"/>
  <c r="H39" i="74"/>
  <c r="F62" i="75"/>
  <c r="F70" i="75" s="1"/>
  <c r="O61" i="75"/>
  <c r="O69" i="75" s="1"/>
  <c r="O68" i="75" s="1"/>
  <c r="F62" i="74"/>
  <c r="F70" i="74" s="1"/>
  <c r="F70" i="73" s="1"/>
  <c r="N42" i="74"/>
  <c r="G42" i="75"/>
  <c r="N55" i="75"/>
  <c r="G26" i="73"/>
  <c r="P18" i="74"/>
  <c r="H26" i="74"/>
  <c r="O13" i="75"/>
  <c r="G13" i="75"/>
  <c r="G22" i="73"/>
  <c r="P24" i="73"/>
  <c r="N47" i="73"/>
  <c r="M22" i="73"/>
  <c r="P27" i="73"/>
  <c r="N22" i="73"/>
  <c r="P15" i="73"/>
  <c r="F36" i="73"/>
  <c r="F61" i="73"/>
  <c r="O26" i="73"/>
  <c r="O22" i="73"/>
  <c r="P31" i="73"/>
  <c r="F51" i="73"/>
  <c r="P51" i="73"/>
  <c r="P49" i="73"/>
  <c r="G38" i="73"/>
  <c r="P20" i="73"/>
  <c r="P21" i="73"/>
  <c r="E47" i="73"/>
  <c r="P17" i="73"/>
  <c r="N30" i="73"/>
  <c r="N18" i="73"/>
  <c r="E43" i="73"/>
  <c r="O18" i="73"/>
  <c r="P33" i="73"/>
  <c r="G14" i="73"/>
  <c r="H16" i="73"/>
  <c r="H14" i="73" s="1"/>
  <c r="P50" i="73"/>
  <c r="P58" i="73" s="1"/>
  <c r="P19" i="73"/>
  <c r="P23" i="73"/>
  <c r="P35" i="73"/>
  <c r="N43" i="73"/>
  <c r="N55" i="73"/>
  <c r="F59" i="73" s="1"/>
  <c r="H51" i="73"/>
  <c r="H24" i="73"/>
  <c r="H22" i="73" s="1"/>
  <c r="P25" i="73"/>
  <c r="P28" i="73"/>
  <c r="P32" i="73"/>
  <c r="M47" i="73"/>
  <c r="F14" i="73"/>
  <c r="F13" i="73" s="1"/>
  <c r="M14" i="73"/>
  <c r="H29" i="73"/>
  <c r="H39" i="73" s="1"/>
  <c r="H63" i="73" s="1"/>
  <c r="H71" i="73" s="1"/>
  <c r="N14" i="73"/>
  <c r="G39" i="73"/>
  <c r="G63" i="73" s="1"/>
  <c r="O47" i="73"/>
  <c r="P16" i="73"/>
  <c r="M71" i="73"/>
  <c r="P48" i="73"/>
  <c r="H19" i="73"/>
  <c r="H18" i="73" s="1"/>
  <c r="P39" i="73"/>
  <c r="F43" i="73"/>
  <c r="E51" i="73"/>
  <c r="N69" i="73"/>
  <c r="N68" i="73" s="1"/>
  <c r="M18" i="73"/>
  <c r="M37" i="73"/>
  <c r="P38" i="73"/>
  <c r="E63" i="73"/>
  <c r="H28" i="73"/>
  <c r="O42" i="74"/>
  <c r="N55" i="74"/>
  <c r="N61" i="74"/>
  <c r="N69" i="74" s="1"/>
  <c r="M61" i="74"/>
  <c r="M60" i="74" s="1"/>
  <c r="F42" i="74"/>
  <c r="E42" i="74"/>
  <c r="H56" i="74"/>
  <c r="H55" i="74" s="1"/>
  <c r="G42" i="74"/>
  <c r="N13" i="74"/>
  <c r="N36" i="74"/>
  <c r="M13" i="74"/>
  <c r="G13" i="74"/>
  <c r="H37" i="74"/>
  <c r="F13" i="74"/>
  <c r="E13" i="74"/>
  <c r="H65" i="75"/>
  <c r="O36" i="75"/>
  <c r="N61" i="75"/>
  <c r="N69" i="75" s="1"/>
  <c r="N68" i="75" s="1"/>
  <c r="P37" i="75"/>
  <c r="N13" i="75"/>
  <c r="M13" i="75"/>
  <c r="H39" i="75"/>
  <c r="H63" i="75" s="1"/>
  <c r="H71" i="75" s="1"/>
  <c r="H18" i="75"/>
  <c r="G36" i="75"/>
  <c r="H37" i="75"/>
  <c r="E61" i="75"/>
  <c r="E60" i="75" s="1"/>
  <c r="E13" i="75"/>
  <c r="M69" i="75"/>
  <c r="M68" i="75" s="1"/>
  <c r="M60" i="75"/>
  <c r="H62" i="75"/>
  <c r="H70" i="75" s="1"/>
  <c r="G62" i="75"/>
  <c r="G70" i="75" s="1"/>
  <c r="G70" i="73" s="1"/>
  <c r="P43" i="75"/>
  <c r="F36" i="75"/>
  <c r="M36" i="75"/>
  <c r="E40" i="75" s="1"/>
  <c r="O37" i="74"/>
  <c r="O13" i="74"/>
  <c r="P31" i="74"/>
  <c r="H63" i="74"/>
  <c r="H71" i="74" s="1"/>
  <c r="P44" i="74"/>
  <c r="O56" i="74"/>
  <c r="O55" i="74" s="1"/>
  <c r="O65" i="74"/>
  <c r="N62" i="74"/>
  <c r="N70" i="74" s="1"/>
  <c r="H22" i="74"/>
  <c r="M36" i="74"/>
  <c r="M40" i="74" s="1"/>
  <c r="E61" i="74"/>
  <c r="E69" i="74" s="1"/>
  <c r="P15" i="74"/>
  <c r="P14" i="74" s="1"/>
  <c r="P23" i="74"/>
  <c r="P22" i="74" s="1"/>
  <c r="P34" i="74"/>
  <c r="G61" i="74"/>
  <c r="F36" i="74"/>
  <c r="N40" i="74" s="1"/>
  <c r="O14" i="73"/>
  <c r="P29" i="73"/>
  <c r="P44" i="73"/>
  <c r="P57" i="73"/>
  <c r="M30" i="73"/>
  <c r="M43" i="73"/>
  <c r="P65" i="73"/>
  <c r="N60" i="73"/>
  <c r="O30" i="73"/>
  <c r="O43" i="73"/>
  <c r="H27" i="73"/>
  <c r="E26" i="73"/>
  <c r="E13" i="73" s="1"/>
  <c r="E55" i="73"/>
  <c r="H65" i="73"/>
  <c r="P38" i="74" l="1"/>
  <c r="P62" i="74" s="1"/>
  <c r="P70" i="74" s="1"/>
  <c r="P30" i="74"/>
  <c r="P13" i="74" s="1"/>
  <c r="H13" i="75"/>
  <c r="F40" i="75"/>
  <c r="P47" i="73"/>
  <c r="M69" i="74"/>
  <c r="M68" i="74" s="1"/>
  <c r="H42" i="74"/>
  <c r="F59" i="74"/>
  <c r="P13" i="75"/>
  <c r="G40" i="75"/>
  <c r="E59" i="74"/>
  <c r="P63" i="75"/>
  <c r="P71" i="75" s="1"/>
  <c r="P36" i="75"/>
  <c r="F60" i="75"/>
  <c r="H61" i="75"/>
  <c r="H69" i="75" s="1"/>
  <c r="H68" i="75" s="1"/>
  <c r="F59" i="75"/>
  <c r="G60" i="75"/>
  <c r="G71" i="73"/>
  <c r="G68" i="73" s="1"/>
  <c r="H13" i="74"/>
  <c r="F69" i="75"/>
  <c r="F68" i="75" s="1"/>
  <c r="F68" i="74"/>
  <c r="P55" i="75"/>
  <c r="H59" i="75" s="1"/>
  <c r="F60" i="74"/>
  <c r="F42" i="73"/>
  <c r="O60" i="75"/>
  <c r="H42" i="75"/>
  <c r="M61" i="73"/>
  <c r="M69" i="73" s="1"/>
  <c r="M36" i="73"/>
  <c r="E42" i="73"/>
  <c r="P42" i="75"/>
  <c r="G68" i="75"/>
  <c r="F60" i="73"/>
  <c r="F64" i="73" s="1"/>
  <c r="F69" i="73"/>
  <c r="H38" i="73"/>
  <c r="H62" i="73" s="1"/>
  <c r="H70" i="73" s="1"/>
  <c r="N42" i="73"/>
  <c r="O42" i="73"/>
  <c r="O55" i="73"/>
  <c r="F40" i="73"/>
  <c r="M42" i="73"/>
  <c r="P22" i="73"/>
  <c r="P18" i="73"/>
  <c r="P30" i="73"/>
  <c r="P56" i="73"/>
  <c r="P55" i="73" s="1"/>
  <c r="H37" i="73"/>
  <c r="H61" i="73" s="1"/>
  <c r="H69" i="73" s="1"/>
  <c r="M70" i="73"/>
  <c r="O62" i="73"/>
  <c r="O70" i="73" s="1"/>
  <c r="E62" i="73"/>
  <c r="E36" i="73"/>
  <c r="G13" i="73"/>
  <c r="N13" i="73"/>
  <c r="H43" i="73"/>
  <c r="H47" i="73"/>
  <c r="P63" i="73"/>
  <c r="P71" i="73" s="1"/>
  <c r="P14" i="73"/>
  <c r="P26" i="73"/>
  <c r="H55" i="73"/>
  <c r="M55" i="73"/>
  <c r="E59" i="73" s="1"/>
  <c r="M13" i="73"/>
  <c r="G62" i="73"/>
  <c r="H26" i="73"/>
  <c r="H13" i="73" s="1"/>
  <c r="O63" i="73"/>
  <c r="O71" i="73" s="1"/>
  <c r="H61" i="74"/>
  <c r="H69" i="74" s="1"/>
  <c r="H68" i="74" s="1"/>
  <c r="N60" i="74"/>
  <c r="N68" i="74"/>
  <c r="H36" i="74"/>
  <c r="N60" i="75"/>
  <c r="P61" i="75"/>
  <c r="P60" i="75" s="1"/>
  <c r="H36" i="75"/>
  <c r="E69" i="75"/>
  <c r="E68" i="75" s="1"/>
  <c r="E64" i="75"/>
  <c r="O61" i="74"/>
  <c r="O36" i="74"/>
  <c r="G40" i="74" s="1"/>
  <c r="P37" i="74"/>
  <c r="P43" i="74"/>
  <c r="P42" i="74" s="1"/>
  <c r="P56" i="74"/>
  <c r="P55" i="74" s="1"/>
  <c r="H59" i="74" s="1"/>
  <c r="G60" i="74"/>
  <c r="G69" i="74"/>
  <c r="G68" i="74" s="1"/>
  <c r="E60" i="74"/>
  <c r="E68" i="74"/>
  <c r="P62" i="73"/>
  <c r="P70" i="73" s="1"/>
  <c r="P43" i="73"/>
  <c r="O36" i="73"/>
  <c r="P36" i="73" s="1"/>
  <c r="P37" i="73"/>
  <c r="O61" i="73"/>
  <c r="G36" i="73"/>
  <c r="O13" i="73"/>
  <c r="E61" i="73"/>
  <c r="E69" i="73" s="1"/>
  <c r="G40" i="73" l="1"/>
  <c r="H60" i="75"/>
  <c r="H64" i="75" s="1"/>
  <c r="P42" i="73"/>
  <c r="F64" i="75"/>
  <c r="E40" i="73"/>
  <c r="H40" i="75"/>
  <c r="G64" i="75"/>
  <c r="F64" i="74"/>
  <c r="H68" i="73"/>
  <c r="P61" i="73"/>
  <c r="P69" i="73" s="1"/>
  <c r="P68" i="73" s="1"/>
  <c r="M60" i="73"/>
  <c r="M68" i="73"/>
  <c r="P13" i="73"/>
  <c r="H42" i="73"/>
  <c r="H59" i="73"/>
  <c r="H36" i="73"/>
  <c r="H40" i="73" s="1"/>
  <c r="H60" i="74"/>
  <c r="P69" i="75"/>
  <c r="P68" i="75" s="1"/>
  <c r="P36" i="74"/>
  <c r="P40" i="74" s="1"/>
  <c r="P61" i="74"/>
  <c r="O69" i="74"/>
  <c r="O68" i="74" s="1"/>
  <c r="O60" i="74"/>
  <c r="O64" i="74" s="1"/>
  <c r="G60" i="73"/>
  <c r="O69" i="73"/>
  <c r="O68" i="73" s="1"/>
  <c r="O60" i="73"/>
  <c r="E60" i="73"/>
  <c r="P60" i="73" l="1"/>
  <c r="E64" i="73"/>
  <c r="H60" i="73"/>
  <c r="P69" i="74"/>
  <c r="P68" i="74" s="1"/>
  <c r="P60" i="74"/>
  <c r="H64" i="74" s="1"/>
  <c r="H64" i="73" l="1"/>
  <c r="F68" i="73"/>
  <c r="E68" i="73"/>
</calcChain>
</file>

<file path=xl/sharedStrings.xml><?xml version="1.0" encoding="utf-8"?>
<sst xmlns="http://schemas.openxmlformats.org/spreadsheetml/2006/main" count="1180" uniqueCount="247">
  <si>
    <t>I.</t>
  </si>
  <si>
    <t>1.</t>
  </si>
  <si>
    <t>2.</t>
  </si>
  <si>
    <t>II.</t>
  </si>
  <si>
    <t>3.</t>
  </si>
  <si>
    <t>Közhatalmi bevételek</t>
  </si>
  <si>
    <t>Ellátottak pénzbeli juttatásai</t>
  </si>
  <si>
    <t>Kötelező feladatok</t>
  </si>
  <si>
    <t>Állami (államigazgatási) feladatok</t>
  </si>
  <si>
    <t xml:space="preserve">Önként vállalt feladatok </t>
  </si>
  <si>
    <t>Egyéb működési célú kiadások</t>
  </si>
  <si>
    <t>Beruházások</t>
  </si>
  <si>
    <t>Felújítások</t>
  </si>
  <si>
    <t xml:space="preserve">Személyi juttatások </t>
  </si>
  <si>
    <t>Működési költségvetési kiadások összesen</t>
  </si>
  <si>
    <t>Felhalmozási költségvetési kiadások összesen</t>
  </si>
  <si>
    <t>Munkaadókat terhelő jár. és szoc. hozzájárulási adó</t>
  </si>
  <si>
    <t>Működési költségvetési kiadások</t>
  </si>
  <si>
    <t>Felhalmozási költségvetési kiadások</t>
  </si>
  <si>
    <t>Működési költségvetési bevételek összesen</t>
  </si>
  <si>
    <t>Felhalmozási költségvetési bevételek</t>
  </si>
  <si>
    <t>Felhalmozási bevételek</t>
  </si>
  <si>
    <t>Felhalmozási költségvetési bevételek összesen</t>
  </si>
  <si>
    <t xml:space="preserve"> költségvetési mérleg</t>
  </si>
  <si>
    <t>Önkormányzat bevételei mindösszesen</t>
  </si>
  <si>
    <t>Önkormányzat kiadásai mindösszesen</t>
  </si>
  <si>
    <t>Dologi kiadások</t>
  </si>
  <si>
    <t>Működési bevételek</t>
  </si>
  <si>
    <t>Eredeti előirányzat</t>
  </si>
  <si>
    <t>I+II.</t>
  </si>
  <si>
    <t>Költségvetési bevételek összesen</t>
  </si>
  <si>
    <t>Finanszírozási bevételek összesen</t>
  </si>
  <si>
    <t>Költségvetési kiadások összesen</t>
  </si>
  <si>
    <t>III.</t>
  </si>
  <si>
    <t>I-III</t>
  </si>
  <si>
    <t xml:space="preserve">Működési költségvetési bevételek </t>
  </si>
  <si>
    <t xml:space="preserve">I. MŰKÖDÉSI KÖLTSÉGVETÉS </t>
  </si>
  <si>
    <t>Bevételi előirányzatok</t>
  </si>
  <si>
    <t>Kiadási előirányzatok</t>
  </si>
  <si>
    <t>(bevételi előirányzatok és kiadási előirányzatok kiemelt előirányzatok szerinti bontásban)</t>
  </si>
  <si>
    <t xml:space="preserve">II. FELHALMOZÁSI KÖLTSÉGVETÉS </t>
  </si>
  <si>
    <t>Működési célú átvett pénzeszközök</t>
  </si>
  <si>
    <t>Működési célú támogatások államháztartáson belülről</t>
  </si>
  <si>
    <t>Felhalmozási célú átvett pénzeszközök</t>
  </si>
  <si>
    <t>Finanszírozási kiadások összesen</t>
  </si>
  <si>
    <t>K1</t>
  </si>
  <si>
    <t>K2</t>
  </si>
  <si>
    <t>K3</t>
  </si>
  <si>
    <t>K4</t>
  </si>
  <si>
    <t>K5</t>
  </si>
  <si>
    <t>B1</t>
  </si>
  <si>
    <t>K6</t>
  </si>
  <si>
    <t>K7</t>
  </si>
  <si>
    <t>K8</t>
  </si>
  <si>
    <t>Egyéb felhalmozási célú kiadások</t>
  </si>
  <si>
    <t>K6+K7+K8</t>
  </si>
  <si>
    <t>K9</t>
  </si>
  <si>
    <t>K1-K9</t>
  </si>
  <si>
    <t>B1-B8</t>
  </si>
  <si>
    <t>Költségvetési bevételek és kiadások egyenlege (hiány)</t>
  </si>
  <si>
    <t>Költségvetési bevételek és kiadások egyenlege (többlet)</t>
  </si>
  <si>
    <t>B8</t>
  </si>
  <si>
    <t>B2</t>
  </si>
  <si>
    <t>B3</t>
  </si>
  <si>
    <t>B4</t>
  </si>
  <si>
    <t>B5</t>
  </si>
  <si>
    <t>B6</t>
  </si>
  <si>
    <t>B7</t>
  </si>
  <si>
    <t xml:space="preserve">K1+K2+K3+K4+K5   </t>
  </si>
  <si>
    <t xml:space="preserve">B1+B3+B4+B6                   </t>
  </si>
  <si>
    <t>B2+B5+B7</t>
  </si>
  <si>
    <t>K1-K8</t>
  </si>
  <si>
    <t>B1-B7</t>
  </si>
  <si>
    <t>Maradvány igénybevétele</t>
  </si>
  <si>
    <t>Államháztartáson belüli megelőlegezések</t>
  </si>
  <si>
    <t>Államháztartáson belüli megelőlegezés visszafizetése</t>
  </si>
  <si>
    <t>Irányító szervi támogatás folyósítása</t>
  </si>
  <si>
    <t>EI.Csop.</t>
  </si>
  <si>
    <t>Kiem.EI.</t>
  </si>
  <si>
    <t>1.a</t>
  </si>
  <si>
    <t>1.b</t>
  </si>
  <si>
    <t xml:space="preserve">    - ebből általános tartalék</t>
  </si>
  <si>
    <t xml:space="preserve">    - ebből céltartalék</t>
  </si>
  <si>
    <t>Költségvetési működési bevételek és kiadások egyenlege (hiány)</t>
  </si>
  <si>
    <t>Költségvetési működési bevételek és kiadások egyenlege (többlet)</t>
  </si>
  <si>
    <t>Költségvetési felhalmozási bevételek és kiadások egyenlege (hiány)</t>
  </si>
  <si>
    <t>Költségvetési felhalmozási bevételek és kiadások egyenlege (többlet)</t>
  </si>
  <si>
    <t>Jelenlegi módosítás</t>
  </si>
  <si>
    <t>Módosított előírányzat</t>
  </si>
  <si>
    <t>összevont költségvetési mérleg</t>
  </si>
  <si>
    <t>Önkormányzati Hivatal bevételei mindösszesen</t>
  </si>
  <si>
    <t>Önkormányzati Hivatal kiadásai mindösszesen</t>
  </si>
  <si>
    <t>( Ft)</t>
  </si>
  <si>
    <t>Felhalmozási célú támogatások államháztartáson belülről</t>
  </si>
  <si>
    <t>(Ft)</t>
  </si>
  <si>
    <t>Hajdú-Bihar Vármegye Önkormányzata</t>
  </si>
  <si>
    <t>Hajdú-Bihar Vármegyei Önkormányzati Hivatal</t>
  </si>
  <si>
    <t>(3. melléklet az 1/2024. (II. 26.) önkormányzati rendelethez)</t>
  </si>
  <si>
    <t>2024. évi költségvetés módosítása</t>
  </si>
  <si>
    <t>(2. melléklet az 1/2024. (II. 26.) önkormányzati rendelethez)</t>
  </si>
  <si>
    <t>(1. melléklet az 1/2024. (II. 26.) önkormányzati rendelethez)</t>
  </si>
  <si>
    <t>(4. melléklet az 1/2024. (II. 26.) önkormányzati rendelethez)</t>
  </si>
  <si>
    <t>európai uniós forrásból finanszírozott támogatással megvalósuló projektek bevételei és kiadásai</t>
  </si>
  <si>
    <t>Sorszám</t>
  </si>
  <si>
    <t>Pályázat</t>
  </si>
  <si>
    <t>Bevétel</t>
  </si>
  <si>
    <t>Kiadás</t>
  </si>
  <si>
    <t>Önerő</t>
  </si>
  <si>
    <t>Címe</t>
  </si>
  <si>
    <t>Azonosító</t>
  </si>
  <si>
    <t>Intenzitás</t>
  </si>
  <si>
    <t>Működési</t>
  </si>
  <si>
    <t>Felhal-mozási</t>
  </si>
  <si>
    <t>Maradvány igénybevétel</t>
  </si>
  <si>
    <t>Összesen</t>
  </si>
  <si>
    <t xml:space="preserve">Működési </t>
  </si>
  <si>
    <t>EU-s forrásból</t>
  </si>
  <si>
    <t>Hajdú-Bihar Vármegye Önkormányzata európai uniós projektjei</t>
  </si>
  <si>
    <t>EXPRESS</t>
  </si>
  <si>
    <t>01C0136</t>
  </si>
  <si>
    <t>GOCORE</t>
  </si>
  <si>
    <t>01C0041</t>
  </si>
  <si>
    <t>SYSTOUR</t>
  </si>
  <si>
    <t>01C0279</t>
  </si>
  <si>
    <t>4.</t>
  </si>
  <si>
    <t>WEEEWaste</t>
  </si>
  <si>
    <t>01C0027</t>
  </si>
  <si>
    <t>5.</t>
  </si>
  <si>
    <t>More than a village</t>
  </si>
  <si>
    <t>CE0100085</t>
  </si>
  <si>
    <t>6.</t>
  </si>
  <si>
    <t>OpenRegioCulture</t>
  </si>
  <si>
    <t>02C0467</t>
  </si>
  <si>
    <t>7.</t>
  </si>
  <si>
    <t>SReST</t>
  </si>
  <si>
    <t>DRP0200445</t>
  </si>
  <si>
    <t>8.</t>
  </si>
  <si>
    <t>Europe Direct Hajdú-Bihar</t>
  </si>
  <si>
    <t>9.</t>
  </si>
  <si>
    <t>Magyar Szürkék Útja</t>
  </si>
  <si>
    <t>TOP-1.2.1-15-HB1-2016-00020</t>
  </si>
  <si>
    <t>10.</t>
  </si>
  <si>
    <t>Hajdú hagyományok nyomában</t>
  </si>
  <si>
    <t>TOP-5.3.2-17-HB1-2018-00001</t>
  </si>
  <si>
    <t>11.</t>
  </si>
  <si>
    <t>2021-27 tervezés előkészítése</t>
  </si>
  <si>
    <t>TOP-1.5.1-20-2020-00013</t>
  </si>
  <si>
    <t>12.</t>
  </si>
  <si>
    <t>Együtt, közösségben Hajdú-Biharban</t>
  </si>
  <si>
    <t>TOP-5.3.2-17-HB1-2021-00002</t>
  </si>
  <si>
    <t>13.</t>
  </si>
  <si>
    <t>Foglalkoztatási Paktum Plusz</t>
  </si>
  <si>
    <t>TOP_PLUSZ-3.1.1-21-HB1-2022-00001</t>
  </si>
  <si>
    <t>14.</t>
  </si>
  <si>
    <t>EFOP - Hajdúböszörmény</t>
  </si>
  <si>
    <t>EFOP-1.5.3-16-2017-00014</t>
  </si>
  <si>
    <t>15.</t>
  </si>
  <si>
    <t>EFOP - Csökmő</t>
  </si>
  <si>
    <t>EFOP-1.5.3-16-2017-00023</t>
  </si>
  <si>
    <t>16.</t>
  </si>
  <si>
    <t>EFOP - Balmazújváros</t>
  </si>
  <si>
    <t>EFOP-1.5.3-16-2017-00043</t>
  </si>
  <si>
    <t>17.</t>
  </si>
  <si>
    <t>Helyi humán fejlesztések</t>
  </si>
  <si>
    <t>TOP_PLUSZ-3.1.3-23-HB2-2023-00001</t>
  </si>
  <si>
    <t>Hajdú-Bihar Vármegye Önkormányzata európai uniós projektjei összesen</t>
  </si>
  <si>
    <t>Hajdú-Bihar Vármegyei Önkormányzati Hivatal európai uniós projektjei</t>
  </si>
  <si>
    <t>Foglalkoztatási Paktum</t>
  </si>
  <si>
    <t>TOP-5.1.1-15-HB1-2016-00001</t>
  </si>
  <si>
    <t>Hajdú-Bihar Vármegyei Önkormányzati Hivatal európai uniós projektjei összesen</t>
  </si>
  <si>
    <t>Mindösszesen</t>
  </si>
  <si>
    <t>(5. melléklet az 1/2024. (II. 26.) önkormányzati rendelethez)</t>
  </si>
  <si>
    <t>európai uniós forrásból finanszírozott támogatással megvalósuló projektek bevételei - részletes költségvetés</t>
  </si>
  <si>
    <t>Bevételek - EU-s forrás</t>
  </si>
  <si>
    <t>Költségvetés</t>
  </si>
  <si>
    <t>Kiemelt előirányzat</t>
  </si>
  <si>
    <t>Működési támogatás</t>
  </si>
  <si>
    <t>Felhalmozási támogatás</t>
  </si>
  <si>
    <t>Maradvány</t>
  </si>
  <si>
    <t>B1 rovat</t>
  </si>
  <si>
    <t>B6 rovat</t>
  </si>
  <si>
    <t>B2 rovat</t>
  </si>
  <si>
    <t>B7 rovat</t>
  </si>
  <si>
    <t>Önkormányzat</t>
  </si>
  <si>
    <t>Hivatal</t>
  </si>
  <si>
    <t>18.</t>
  </si>
  <si>
    <t>(6. melléklet az 1/2024. (II. 26.) önkormányzati rendelethez)</t>
  </si>
  <si>
    <t>európai uniós forrásból finanszírozott támogatással megvalósuló projektek kiadásai - részletes költségvetés</t>
  </si>
  <si>
    <t>Kiadások</t>
  </si>
  <si>
    <t>Személyi</t>
  </si>
  <si>
    <t>Járulék</t>
  </si>
  <si>
    <t>Dologi</t>
  </si>
  <si>
    <t>Támogatás, tartalék</t>
  </si>
  <si>
    <t>Beruházás, felújítás</t>
  </si>
  <si>
    <t>Feladat megnevezése</t>
  </si>
  <si>
    <t>Módosított előirányzat</t>
  </si>
  <si>
    <t>Elnöki hatáskörben felhasználható keret kiemelt közoktatási, kulturális, közművelődési és sportfeladatokra</t>
  </si>
  <si>
    <t>Elismerésekkel, kitüntetésekkel járó pénzjutalom</t>
  </si>
  <si>
    <t>Önként vállalt feladatok összesen</t>
  </si>
  <si>
    <t>(8. melléklet az 1/2024. (II. 26.) önkormányzati rendelethez)</t>
  </si>
  <si>
    <t>működési célú támogatások államháztartáson belülre és kívülre</t>
  </si>
  <si>
    <t>Kötelező feladat</t>
  </si>
  <si>
    <t>Működési célú támogatások államháztartáson belülre</t>
  </si>
  <si>
    <t>Hajdú-Bihar Vármegye Cigány Területi Nemzetiségi Önkormányzata támogatása</t>
  </si>
  <si>
    <t>Hajdú-Bihar Vármegye Román Területi Nemzetiségi Önkormányzata támogatása</t>
  </si>
  <si>
    <t>Miniszterelnökség - Magyar Szürkék Útja pályázat fel nem használt támogatás visszautalása</t>
  </si>
  <si>
    <t>Miniszterelnökség - Hajdú hagyományok nyomában pályázat fel nem használt támogatás visszautalása</t>
  </si>
  <si>
    <t>Miniszterelnökség - Foglalkoztatási Paktum pályázat (Hivatalt érintő) fel nem használt támogatás visszautalása</t>
  </si>
  <si>
    <t>Miniszterelnökség - EFOP-1.5.3 Csökmő pályázat fel nem használt támogatás visszautalása</t>
  </si>
  <si>
    <t>Miniszterelnökség - EFOP-1.5.3 Hajdúböszörmény pályázat fel nem használt támogatás visszautalása</t>
  </si>
  <si>
    <t>Miniszterelnökség - EFOP-1.5.3 Balmazújváros pályázat fel nem használt támogatás visszautalása</t>
  </si>
  <si>
    <t>Működési célú támogatások államháztartáson belülre kötelező feladatra összesen</t>
  </si>
  <si>
    <t>Kötelező feladat összesen</t>
  </si>
  <si>
    <t>Önként vállalt feladat</t>
  </si>
  <si>
    <t>Működési célú támogatások államháztartáson kívülre</t>
  </si>
  <si>
    <t>Működési célú támogatások államháztartáson kívülre önként vállalt feladatra összesen</t>
  </si>
  <si>
    <t>Kötelező és önként vállalt feladat összesen</t>
  </si>
  <si>
    <t>(9. melléklet az 1/2024. (II. 26.) önkormányzati rendelethez)</t>
  </si>
  <si>
    <t>beruházások, felújítások kiadásai beruházásonként</t>
  </si>
  <si>
    <t>F   e  l  a  d  a t</t>
  </si>
  <si>
    <t>Hajdú-Bihar Vármegye Önkormányzata felhalmozási kiadások</t>
  </si>
  <si>
    <t>Kis- és nagyértékű tárgyi eszközök, informatikai eszközök, irodai bútorok beszerzése</t>
  </si>
  <si>
    <t>2021-27 tervezés előkészítése pályázat Piac 71. energetika és belső átalakítás tervezési díj</t>
  </si>
  <si>
    <t>Foglalkoztatási Paktum Plusz pályázat eszközbeszerzés (tárgyi, informatikai eszközök, immateriális javak)</t>
  </si>
  <si>
    <t>SReST pályázat eszközbeszerzés</t>
  </si>
  <si>
    <t>Europe Direct pályázat eszközbeszerzés</t>
  </si>
  <si>
    <t>Közgyűlési tagok részére laptop/táblagép beszerzés</t>
  </si>
  <si>
    <t>2021-27 tervezés előkészítése pályázat Piac 71. energetika és belső átalakítás tervezési díj (saját forrás)</t>
  </si>
  <si>
    <t>Személygépjármű beszerzés (1 db)</t>
  </si>
  <si>
    <t>Helyi humán fejlesztések pályázat eszközbeszerzés (tárgyi, informatikai eszközök, immateriális javak)</t>
  </si>
  <si>
    <t>Hajdú-Bihar Vármegye Önkormányzata felhalmozási kiadások összesen</t>
  </si>
  <si>
    <t>Hajdú-Bihar Vármegyei Önkormányzati Hivatal felhalmozási kiadások</t>
  </si>
  <si>
    <t>Kis- és nagyértékű tárgyi eszközök, informatikai eszközök, irodabútorok beszerzése</t>
  </si>
  <si>
    <t>Hajdú-Bihar Vármegyei Önkormányzati Hivatal felhalmozási kiadások összesen</t>
  </si>
  <si>
    <t>Felhalmozási kiadások mindösszesen</t>
  </si>
  <si>
    <t>More than a village pályázat eszközbeszerzés</t>
  </si>
  <si>
    <t>Agrárminisztérium - "Vármegye kóstolgató" című pályázat fel nem használt támogatás visszautalása</t>
  </si>
  <si>
    <t>Belügyminisztérium - Hajdú-Bihar Vármegyei Kábítószerügyi Egyeztető Fórumok működésének ösztönzése pályázat fel nem használt támogatás visszautalása</t>
  </si>
  <si>
    <t>2025. március 28.</t>
  </si>
  <si>
    <t>1. melléklet a  .../2025. (...) önkormányzati rendelethez</t>
  </si>
  <si>
    <t>2. melléklet a  .../2025. (...) önkormányzati rendelethez</t>
  </si>
  <si>
    <t>3. melléklet a  .../2025. (...) önkormányzati rendelethez</t>
  </si>
  <si>
    <t>7. melléklet a .../2025. (...) önkormányzati rendelethez</t>
  </si>
  <si>
    <t>8. melléklet a .../2025. (...) önkormányzati rendelethez</t>
  </si>
  <si>
    <t>4. melléklet a .../2025. (...) önkormányzati rendelethez</t>
  </si>
  <si>
    <t>5. melléklet a .../2025. (...) önkormányzati rendelethez</t>
  </si>
  <si>
    <t>6. melléklet a .../2025. (...)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</si>
</sst>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0.0%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 CE"/>
      <charset val="238"/>
    </font>
    <font>
      <sz val="11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.5"/>
      <name val="Times New Roman"/>
      <family val="1"/>
      <charset val="238"/>
    </font>
    <font>
      <sz val="28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"/>
      <family val="1"/>
    </font>
    <font>
      <b/>
      <sz val="16"/>
      <color rgb="FFC0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6" fillId="0" borderId="0"/>
    <xf numFmtId="0" fontId="1" fillId="0" borderId="0"/>
    <xf numFmtId="0" fontId="23" fillId="0" borderId="0"/>
  </cellStyleXfs>
  <cellXfs count="70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8" fillId="0" borderId="0" xfId="2" applyFont="1"/>
    <xf numFmtId="0" fontId="6" fillId="0" borderId="0" xfId="2" applyFont="1"/>
    <xf numFmtId="0" fontId="8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3" fontId="10" fillId="2" borderId="41" xfId="0" applyNumberFormat="1" applyFont="1" applyFill="1" applyBorder="1" applyAlignment="1">
      <alignment horizontal="right" vertical="center"/>
    </xf>
    <xf numFmtId="3" fontId="9" fillId="2" borderId="41" xfId="0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center"/>
    </xf>
    <xf numFmtId="3" fontId="6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3" fontId="5" fillId="0" borderId="0" xfId="2" applyNumberFormat="1" applyFont="1" applyAlignment="1">
      <alignment horizontal="right"/>
    </xf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3" xfId="2" applyFont="1" applyBorder="1" applyAlignment="1">
      <alignment horizontal="center" vertical="center"/>
    </xf>
    <xf numFmtId="3" fontId="8" fillId="0" borderId="4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right" vertical="center"/>
    </xf>
    <xf numFmtId="3" fontId="8" fillId="0" borderId="6" xfId="2" applyNumberFormat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 wrapText="1"/>
    </xf>
    <xf numFmtId="3" fontId="8" fillId="0" borderId="6" xfId="2" applyNumberFormat="1" applyFont="1" applyBorder="1" applyAlignment="1">
      <alignment horizontal="right" vertical="center" wrapText="1"/>
    </xf>
    <xf numFmtId="3" fontId="9" fillId="0" borderId="4" xfId="2" applyNumberFormat="1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center"/>
    </xf>
    <xf numFmtId="3" fontId="10" fillId="0" borderId="4" xfId="2" applyNumberFormat="1" applyFont="1" applyBorder="1" applyAlignment="1" applyProtection="1">
      <alignment horizontal="right" vertical="center" wrapText="1"/>
      <protection locked="0"/>
    </xf>
    <xf numFmtId="3" fontId="10" fillId="0" borderId="6" xfId="2" applyNumberFormat="1" applyFont="1" applyBorder="1" applyAlignment="1" applyProtection="1">
      <alignment horizontal="right" vertical="center" wrapText="1"/>
      <protection locked="0"/>
    </xf>
    <xf numFmtId="3" fontId="8" fillId="0" borderId="4" xfId="2" applyNumberFormat="1" applyFont="1" applyBorder="1" applyAlignment="1" applyProtection="1">
      <alignment horizontal="right" vertical="center" wrapText="1"/>
      <protection locked="0"/>
    </xf>
    <xf numFmtId="3" fontId="8" fillId="0" borderId="6" xfId="2" applyNumberFormat="1" applyFont="1" applyBorder="1" applyAlignment="1" applyProtection="1">
      <alignment horizontal="right" vertical="center" wrapText="1"/>
      <protection locked="0"/>
    </xf>
    <xf numFmtId="3" fontId="20" fillId="0" borderId="6" xfId="2" applyNumberFormat="1" applyFont="1" applyBorder="1" applyAlignment="1" applyProtection="1">
      <alignment horizontal="right" vertical="center" wrapText="1"/>
      <protection locked="0"/>
    </xf>
    <xf numFmtId="0" fontId="6" fillId="0" borderId="1" xfId="2" applyFont="1" applyBorder="1" applyAlignment="1">
      <alignment horizontal="center" vertical="center"/>
    </xf>
    <xf numFmtId="3" fontId="15" fillId="0" borderId="4" xfId="2" applyNumberFormat="1" applyFont="1" applyBorder="1" applyAlignment="1">
      <alignment horizontal="center" vertical="center" wrapText="1"/>
    </xf>
    <xf numFmtId="0" fontId="15" fillId="0" borderId="4" xfId="2" applyFont="1" applyBorder="1" applyAlignment="1">
      <alignment horizontal="left" vertical="center"/>
    </xf>
    <xf numFmtId="3" fontId="6" fillId="0" borderId="0" xfId="2" applyNumberFormat="1" applyFont="1" applyAlignment="1">
      <alignment vertical="center"/>
    </xf>
    <xf numFmtId="3" fontId="6" fillId="0" borderId="1" xfId="2" applyNumberFormat="1" applyFont="1" applyBorder="1" applyAlignment="1">
      <alignment horizontal="center" vertical="center" wrapText="1"/>
    </xf>
    <xf numFmtId="3" fontId="5" fillId="0" borderId="3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3" fontId="8" fillId="0" borderId="22" xfId="2" applyNumberFormat="1" applyFont="1" applyBorder="1" applyAlignment="1">
      <alignment horizontal="right" vertical="center" wrapText="1"/>
    </xf>
    <xf numFmtId="0" fontId="5" fillId="0" borderId="14" xfId="2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right" vertical="center" wrapText="1"/>
    </xf>
    <xf numFmtId="3" fontId="8" fillId="0" borderId="15" xfId="2" applyNumberFormat="1" applyFont="1" applyBorder="1" applyAlignment="1">
      <alignment horizontal="right" vertical="center" wrapText="1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11" fillId="0" borderId="0" xfId="0" applyFont="1" applyAlignment="1">
      <alignment horizontal="center"/>
    </xf>
    <xf numFmtId="3" fontId="8" fillId="0" borderId="4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3" fontId="10" fillId="0" borderId="4" xfId="0" applyNumberFormat="1" applyFont="1" applyBorder="1" applyAlignment="1" applyProtection="1">
      <alignment horizontal="right" vertical="center" wrapText="1"/>
      <protection locked="0"/>
    </xf>
    <xf numFmtId="3" fontId="10" fillId="0" borderId="19" xfId="0" applyNumberFormat="1" applyFont="1" applyBorder="1" applyAlignment="1" applyProtection="1">
      <alignment horizontal="right" vertical="center" wrapText="1"/>
      <protection locked="0"/>
    </xf>
    <xf numFmtId="3" fontId="10" fillId="0" borderId="6" xfId="0" applyNumberFormat="1" applyFont="1" applyBorder="1" applyAlignment="1" applyProtection="1">
      <alignment horizontal="right" vertical="center" wrapText="1"/>
      <protection locked="0"/>
    </xf>
    <xf numFmtId="3" fontId="10" fillId="0" borderId="41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3" fontId="9" fillId="0" borderId="4" xfId="0" applyNumberFormat="1" applyFont="1" applyBorder="1" applyAlignment="1" applyProtection="1">
      <alignment horizontal="right" vertical="center" wrapText="1"/>
      <protection locked="0"/>
    </xf>
    <xf numFmtId="3" fontId="9" fillId="0" borderId="6" xfId="0" applyNumberFormat="1" applyFont="1" applyBorder="1" applyAlignment="1" applyProtection="1">
      <alignment horizontal="right" vertical="center" wrapText="1"/>
      <protection locked="0"/>
    </xf>
    <xf numFmtId="3" fontId="6" fillId="0" borderId="1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right" vertical="center" wrapText="1"/>
    </xf>
    <xf numFmtId="3" fontId="8" fillId="0" borderId="15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/>
    </xf>
    <xf numFmtId="3" fontId="8" fillId="0" borderId="19" xfId="2" applyNumberFormat="1" applyFont="1" applyBorder="1" applyAlignment="1">
      <alignment horizontal="right" vertical="center" wrapText="1"/>
    </xf>
    <xf numFmtId="3" fontId="8" fillId="0" borderId="19" xfId="2" applyNumberFormat="1" applyFont="1" applyBorder="1" applyAlignment="1">
      <alignment horizontal="right" vertical="center"/>
    </xf>
    <xf numFmtId="3" fontId="10" fillId="0" borderId="19" xfId="2" applyNumberFormat="1" applyFont="1" applyBorder="1" applyAlignment="1" applyProtection="1">
      <alignment horizontal="right" vertical="center" wrapText="1"/>
      <protection locked="0"/>
    </xf>
    <xf numFmtId="3" fontId="10" fillId="0" borderId="41" xfId="2" applyNumberFormat="1" applyFont="1" applyBorder="1" applyAlignment="1">
      <alignment horizontal="right" vertical="center"/>
    </xf>
    <xf numFmtId="3" fontId="9" fillId="0" borderId="4" xfId="2" applyNumberFormat="1" applyFont="1" applyBorder="1" applyAlignment="1" applyProtection="1">
      <alignment horizontal="right" vertical="center" wrapText="1"/>
      <protection locked="0"/>
    </xf>
    <xf numFmtId="3" fontId="9" fillId="0" borderId="13" xfId="2" applyNumberFormat="1" applyFont="1" applyBorder="1" applyAlignment="1" applyProtection="1">
      <alignment horizontal="right" vertical="center" wrapText="1"/>
      <protection locked="0"/>
    </xf>
    <xf numFmtId="3" fontId="10" fillId="0" borderId="13" xfId="2" applyNumberFormat="1" applyFont="1" applyBorder="1" applyAlignment="1" applyProtection="1">
      <alignment horizontal="right" vertical="center" wrapText="1"/>
      <protection locked="0"/>
    </xf>
    <xf numFmtId="0" fontId="10" fillId="0" borderId="41" xfId="2" applyFont="1" applyBorder="1" applyAlignment="1">
      <alignment horizontal="left" vertical="center"/>
    </xf>
    <xf numFmtId="3" fontId="5" fillId="3" borderId="7" xfId="2" applyNumberFormat="1" applyFont="1" applyFill="1" applyBorder="1" applyAlignment="1">
      <alignment horizontal="center" vertical="center" wrapText="1"/>
    </xf>
    <xf numFmtId="3" fontId="8" fillId="3" borderId="21" xfId="2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0" fontId="14" fillId="3" borderId="34" xfId="2" applyFont="1" applyFill="1" applyBorder="1" applyAlignment="1">
      <alignment horizontal="center" vertical="center" wrapText="1"/>
    </xf>
    <xf numFmtId="3" fontId="17" fillId="3" borderId="12" xfId="2" applyNumberFormat="1" applyFont="1" applyFill="1" applyBorder="1" applyAlignment="1">
      <alignment horizontal="center" vertical="center" textRotation="180" wrapText="1"/>
    </xf>
    <xf numFmtId="3" fontId="6" fillId="3" borderId="7" xfId="2" applyNumberFormat="1" applyFont="1" applyFill="1" applyBorder="1" applyAlignment="1">
      <alignment horizontal="center" vertical="center" textRotation="180" wrapText="1"/>
    </xf>
    <xf numFmtId="3" fontId="5" fillId="3" borderId="23" xfId="2" applyNumberFormat="1" applyFont="1" applyFill="1" applyBorder="1" applyAlignment="1">
      <alignment horizontal="center" vertical="center" wrapText="1"/>
    </xf>
    <xf numFmtId="3" fontId="5" fillId="3" borderId="10" xfId="2" applyNumberFormat="1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3" fontId="17" fillId="3" borderId="12" xfId="0" applyNumberFormat="1" applyFont="1" applyFill="1" applyBorder="1" applyAlignment="1">
      <alignment horizontal="center" vertical="center" textRotation="180" wrapText="1"/>
    </xf>
    <xf numFmtId="3" fontId="6" fillId="3" borderId="7" xfId="0" applyNumberFormat="1" applyFont="1" applyFill="1" applyBorder="1" applyAlignment="1">
      <alignment horizontal="center" vertical="center" textRotation="180" wrapText="1"/>
    </xf>
    <xf numFmtId="3" fontId="5" fillId="3" borderId="23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3" fontId="5" fillId="3" borderId="42" xfId="0" applyNumberFormat="1" applyFont="1" applyFill="1" applyBorder="1" applyAlignment="1">
      <alignment horizontal="center" vertical="center" wrapText="1"/>
    </xf>
    <xf numFmtId="3" fontId="6" fillId="0" borderId="0" xfId="2" applyNumberFormat="1" applyFont="1"/>
    <xf numFmtId="3" fontId="10" fillId="2" borderId="1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3" fontId="5" fillId="4" borderId="22" xfId="2" applyNumberFormat="1" applyFont="1" applyFill="1" applyBorder="1" applyAlignment="1">
      <alignment horizontal="right" vertical="center" wrapText="1"/>
    </xf>
    <xf numFmtId="3" fontId="5" fillId="4" borderId="2" xfId="2" applyNumberFormat="1" applyFont="1" applyFill="1" applyBorder="1" applyAlignment="1">
      <alignment horizontal="center" vertical="center" wrapText="1"/>
    </xf>
    <xf numFmtId="3" fontId="8" fillId="4" borderId="4" xfId="2" applyNumberFormat="1" applyFont="1" applyFill="1" applyBorder="1" applyAlignment="1">
      <alignment horizontal="right" vertical="center" wrapText="1"/>
    </xf>
    <xf numFmtId="3" fontId="8" fillId="4" borderId="6" xfId="2" applyNumberFormat="1" applyFont="1" applyFill="1" applyBorder="1" applyAlignment="1">
      <alignment horizontal="right" vertical="center" wrapText="1"/>
    </xf>
    <xf numFmtId="0" fontId="6" fillId="4" borderId="2" xfId="2" applyFont="1" applyFill="1" applyBorder="1" applyAlignment="1">
      <alignment horizontal="center" vertical="center"/>
    </xf>
    <xf numFmtId="3" fontId="9" fillId="4" borderId="4" xfId="2" applyNumberFormat="1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left" vertical="center"/>
    </xf>
    <xf numFmtId="3" fontId="10" fillId="4" borderId="4" xfId="2" applyNumberFormat="1" applyFont="1" applyFill="1" applyBorder="1" applyAlignment="1">
      <alignment horizontal="right" vertical="center" wrapText="1"/>
    </xf>
    <xf numFmtId="3" fontId="10" fillId="4" borderId="6" xfId="2" applyNumberFormat="1" applyFont="1" applyFill="1" applyBorder="1" applyAlignment="1">
      <alignment horizontal="right" vertical="center" wrapText="1"/>
    </xf>
    <xf numFmtId="0" fontId="6" fillId="4" borderId="1" xfId="2" applyFont="1" applyFill="1" applyBorder="1" applyAlignment="1">
      <alignment horizontal="center" vertical="center"/>
    </xf>
    <xf numFmtId="3" fontId="10" fillId="4" borderId="13" xfId="2" applyNumberFormat="1" applyFont="1" applyFill="1" applyBorder="1" applyAlignment="1">
      <alignment horizontal="right" vertical="center" wrapText="1"/>
    </xf>
    <xf numFmtId="3" fontId="10" fillId="4" borderId="8" xfId="2" applyNumberFormat="1" applyFont="1" applyFill="1" applyBorder="1" applyAlignment="1">
      <alignment horizontal="right" vertical="center" wrapText="1"/>
    </xf>
    <xf numFmtId="0" fontId="5" fillId="4" borderId="3" xfId="2" applyFont="1" applyFill="1" applyBorder="1" applyAlignment="1">
      <alignment horizontal="center" vertical="center"/>
    </xf>
    <xf numFmtId="3" fontId="5" fillId="4" borderId="3" xfId="2" applyNumberFormat="1" applyFont="1" applyFill="1" applyBorder="1" applyAlignment="1">
      <alignment horizontal="center" vertical="center" wrapText="1"/>
    </xf>
    <xf numFmtId="3" fontId="10" fillId="4" borderId="5" xfId="2" applyNumberFormat="1" applyFont="1" applyFill="1" applyBorder="1" applyAlignment="1">
      <alignment horizontal="right" vertical="center" wrapText="1"/>
    </xf>
    <xf numFmtId="3" fontId="7" fillId="4" borderId="2" xfId="2" applyNumberFormat="1" applyFont="1" applyFill="1" applyBorder="1" applyAlignment="1">
      <alignment horizontal="center" vertical="center" wrapText="1"/>
    </xf>
    <xf numFmtId="3" fontId="9" fillId="4" borderId="13" xfId="2" applyNumberFormat="1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left" vertical="center"/>
    </xf>
    <xf numFmtId="3" fontId="8" fillId="4" borderId="22" xfId="2" applyNumberFormat="1" applyFont="1" applyFill="1" applyBorder="1" applyAlignment="1">
      <alignment horizontal="right" vertical="center" wrapText="1"/>
    </xf>
    <xf numFmtId="0" fontId="5" fillId="4" borderId="14" xfId="2" applyFont="1" applyFill="1" applyBorder="1" applyAlignment="1">
      <alignment horizontal="center" vertical="center"/>
    </xf>
    <xf numFmtId="3" fontId="8" fillId="4" borderId="20" xfId="2" applyNumberFormat="1" applyFont="1" applyFill="1" applyBorder="1" applyAlignment="1">
      <alignment horizontal="right" vertical="center" wrapText="1"/>
    </xf>
    <xf numFmtId="3" fontId="8" fillId="4" borderId="15" xfId="2" applyNumberFormat="1" applyFont="1" applyFill="1" applyBorder="1" applyAlignment="1">
      <alignment horizontal="right" vertical="center" wrapText="1"/>
    </xf>
    <xf numFmtId="0" fontId="8" fillId="4" borderId="2" xfId="2" applyFont="1" applyFill="1" applyBorder="1" applyAlignment="1">
      <alignment vertical="center"/>
    </xf>
    <xf numFmtId="3" fontId="5" fillId="4" borderId="2" xfId="2" applyNumberFormat="1" applyFont="1" applyFill="1" applyBorder="1" applyAlignment="1">
      <alignment vertical="center" wrapText="1"/>
    </xf>
    <xf numFmtId="0" fontId="8" fillId="4" borderId="11" xfId="2" applyFont="1" applyFill="1" applyBorder="1" applyAlignment="1">
      <alignment vertical="center"/>
    </xf>
    <xf numFmtId="3" fontId="9" fillId="4" borderId="7" xfId="2" applyNumberFormat="1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left" vertical="center"/>
    </xf>
    <xf numFmtId="3" fontId="10" fillId="4" borderId="7" xfId="2" applyNumberFormat="1" applyFont="1" applyFill="1" applyBorder="1" applyAlignment="1">
      <alignment horizontal="right" vertical="center" wrapText="1"/>
    </xf>
    <xf numFmtId="3" fontId="5" fillId="4" borderId="11" xfId="2" applyNumberFormat="1" applyFont="1" applyFill="1" applyBorder="1" applyAlignment="1">
      <alignment vertical="center" wrapText="1"/>
    </xf>
    <xf numFmtId="3" fontId="10" fillId="4" borderId="10" xfId="2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right" vertical="center" wrapText="1"/>
    </xf>
    <xf numFmtId="3" fontId="8" fillId="4" borderId="6" xfId="0" applyNumberFormat="1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/>
    </xf>
    <xf numFmtId="3" fontId="9" fillId="4" borderId="4" xfId="0" applyNumberFormat="1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vertical="center" wrapText="1"/>
    </xf>
    <xf numFmtId="3" fontId="10" fillId="4" borderId="4" xfId="0" applyNumberFormat="1" applyFont="1" applyFill="1" applyBorder="1" applyAlignment="1">
      <alignment horizontal="right" vertical="center" wrapText="1"/>
    </xf>
    <xf numFmtId="3" fontId="10" fillId="4" borderId="6" xfId="0" applyNumberFormat="1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right" vertical="center" wrapText="1"/>
    </xf>
    <xf numFmtId="3" fontId="10" fillId="4" borderId="8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left" vertical="center"/>
    </xf>
    <xf numFmtId="3" fontId="8" fillId="4" borderId="22" xfId="0" applyNumberFormat="1" applyFont="1" applyFill="1" applyBorder="1" applyAlignment="1">
      <alignment horizontal="right" vertical="center" wrapText="1"/>
    </xf>
    <xf numFmtId="0" fontId="5" fillId="4" borderId="14" xfId="0" applyFont="1" applyFill="1" applyBorder="1" applyAlignment="1">
      <alignment horizontal="center" vertical="center"/>
    </xf>
    <xf numFmtId="3" fontId="8" fillId="4" borderId="20" xfId="0" applyNumberFormat="1" applyFont="1" applyFill="1" applyBorder="1" applyAlignment="1">
      <alignment horizontal="right" vertical="center" wrapText="1"/>
    </xf>
    <xf numFmtId="3" fontId="8" fillId="4" borderId="15" xfId="0" applyNumberFormat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/>
    </xf>
    <xf numFmtId="3" fontId="10" fillId="4" borderId="7" xfId="0" applyNumberFormat="1" applyFont="1" applyFill="1" applyBorder="1" applyAlignment="1">
      <alignment horizontal="right" vertical="center" wrapText="1"/>
    </xf>
    <xf numFmtId="3" fontId="5" fillId="4" borderId="11" xfId="0" applyNumberFormat="1" applyFont="1" applyFill="1" applyBorder="1" applyAlignment="1">
      <alignment vertical="center" wrapText="1"/>
    </xf>
    <xf numFmtId="3" fontId="10" fillId="4" borderId="10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3" fontId="5" fillId="3" borderId="4" xfId="0" applyNumberFormat="1" applyFont="1" applyFill="1" applyBorder="1" applyAlignment="1">
      <alignment horizontal="center" vertical="center" wrapText="1"/>
    </xf>
    <xf numFmtId="3" fontId="22" fillId="3" borderId="4" xfId="0" applyNumberFormat="1" applyFont="1" applyFill="1" applyBorder="1" applyAlignment="1">
      <alignment horizontal="center" vertical="center" wrapText="1"/>
    </xf>
    <xf numFmtId="0" fontId="21" fillId="2" borderId="45" xfId="8" applyFont="1" applyFill="1" applyBorder="1" applyAlignment="1">
      <alignment horizontal="center" vertical="center"/>
    </xf>
    <xf numFmtId="0" fontId="21" fillId="2" borderId="4" xfId="8" applyFont="1" applyFill="1" applyBorder="1" applyAlignment="1">
      <alignment horizontal="center" vertical="center"/>
    </xf>
    <xf numFmtId="165" fontId="21" fillId="2" borderId="4" xfId="8" applyNumberFormat="1" applyFont="1" applyFill="1" applyBorder="1" applyAlignment="1">
      <alignment horizontal="center" vertical="center"/>
    </xf>
    <xf numFmtId="3" fontId="18" fillId="2" borderId="4" xfId="0" applyNumberFormat="1" applyFont="1" applyFill="1" applyBorder="1" applyAlignment="1">
      <alignment vertical="center"/>
    </xf>
    <xf numFmtId="3" fontId="21" fillId="2" borderId="4" xfId="0" applyNumberFormat="1" applyFont="1" applyFill="1" applyBorder="1" applyAlignment="1">
      <alignment vertical="center"/>
    </xf>
    <xf numFmtId="0" fontId="18" fillId="2" borderId="0" xfId="0" applyFont="1" applyFill="1"/>
    <xf numFmtId="3" fontId="18" fillId="2" borderId="0" xfId="0" applyNumberFormat="1" applyFont="1" applyFill="1"/>
    <xf numFmtId="3" fontId="21" fillId="2" borderId="6" xfId="0" applyNumberFormat="1" applyFont="1" applyFill="1" applyBorder="1" applyAlignment="1">
      <alignment vertical="center"/>
    </xf>
    <xf numFmtId="0" fontId="21" fillId="2" borderId="0" xfId="0" applyFont="1" applyFill="1"/>
    <xf numFmtId="0" fontId="21" fillId="2" borderId="4" xfId="8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4" xfId="8" applyFont="1" applyFill="1" applyBorder="1" applyAlignment="1">
      <alignment horizontal="center" vertical="center" wrapText="1"/>
    </xf>
    <xf numFmtId="0" fontId="24" fillId="2" borderId="4" xfId="8" applyFont="1" applyFill="1" applyBorder="1" applyAlignment="1">
      <alignment horizontal="center" vertical="center"/>
    </xf>
    <xf numFmtId="165" fontId="21" fillId="0" borderId="4" xfId="8" applyNumberFormat="1" applyFont="1" applyBorder="1" applyAlignment="1">
      <alignment horizontal="center" vertical="center"/>
    </xf>
    <xf numFmtId="3" fontId="21" fillId="0" borderId="0" xfId="0" applyNumberFormat="1" applyFont="1"/>
    <xf numFmtId="0" fontId="24" fillId="0" borderId="4" xfId="8" applyFont="1" applyBorder="1" applyAlignment="1">
      <alignment horizontal="center" vertical="center"/>
    </xf>
    <xf numFmtId="3" fontId="18" fillId="2" borderId="13" xfId="0" applyNumberFormat="1" applyFont="1" applyFill="1" applyBorder="1" applyAlignment="1">
      <alignment vertical="center"/>
    </xf>
    <xf numFmtId="3" fontId="21" fillId="0" borderId="13" xfId="0" applyNumberFormat="1" applyFont="1" applyBorder="1" applyAlignment="1">
      <alignment vertical="center"/>
    </xf>
    <xf numFmtId="0" fontId="21" fillId="2" borderId="3" xfId="8" applyFont="1" applyFill="1" applyBorder="1" applyAlignment="1">
      <alignment horizontal="center" vertical="center"/>
    </xf>
    <xf numFmtId="0" fontId="21" fillId="2" borderId="13" xfId="8" applyFont="1" applyFill="1" applyBorder="1" applyAlignment="1">
      <alignment horizontal="center" vertical="center" wrapText="1"/>
    </xf>
    <xf numFmtId="0" fontId="6" fillId="2" borderId="13" xfId="8" applyFont="1" applyFill="1" applyBorder="1" applyAlignment="1">
      <alignment horizontal="center" vertical="center"/>
    </xf>
    <xf numFmtId="165" fontId="21" fillId="2" borderId="13" xfId="8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21" fillId="0" borderId="45" xfId="8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3" fontId="21" fillId="0" borderId="4" xfId="2" applyNumberFormat="1" applyFont="1" applyBorder="1" applyAlignment="1">
      <alignment vertical="center"/>
    </xf>
    <xf numFmtId="3" fontId="21" fillId="0" borderId="6" xfId="2" applyNumberFormat="1" applyFont="1" applyBorder="1" applyAlignment="1">
      <alignment vertical="center"/>
    </xf>
    <xf numFmtId="3" fontId="5" fillId="3" borderId="7" xfId="2" applyNumberFormat="1" applyFont="1" applyFill="1" applyBorder="1" applyAlignment="1">
      <alignment vertical="center"/>
    </xf>
    <xf numFmtId="3" fontId="5" fillId="3" borderId="10" xfId="2" applyNumberFormat="1" applyFont="1" applyFill="1" applyBorder="1" applyAlignment="1">
      <alignment vertical="center"/>
    </xf>
    <xf numFmtId="3" fontId="26" fillId="3" borderId="21" xfId="2" applyNumberFormat="1" applyFont="1" applyFill="1" applyBorder="1" applyAlignment="1">
      <alignment vertical="center"/>
    </xf>
    <xf numFmtId="3" fontId="26" fillId="3" borderId="27" xfId="2" applyNumberFormat="1" applyFont="1" applyFill="1" applyBorder="1" applyAlignment="1">
      <alignment vertical="center"/>
    </xf>
    <xf numFmtId="0" fontId="21" fillId="0" borderId="0" xfId="2" applyFont="1"/>
    <xf numFmtId="0" fontId="18" fillId="0" borderId="0" xfId="2" applyFont="1"/>
    <xf numFmtId="0" fontId="5" fillId="0" borderId="0" xfId="2" applyFont="1"/>
    <xf numFmtId="0" fontId="7" fillId="0" borderId="0" xfId="2" applyFont="1" applyAlignment="1">
      <alignment horizontal="centerContinuous"/>
    </xf>
    <xf numFmtId="0" fontId="21" fillId="0" borderId="28" xfId="8" applyFont="1" applyBorder="1" applyAlignment="1">
      <alignment horizontal="center" vertical="center"/>
    </xf>
    <xf numFmtId="3" fontId="21" fillId="0" borderId="20" xfId="2" applyNumberFormat="1" applyFont="1" applyBorder="1" applyAlignment="1">
      <alignment vertical="center"/>
    </xf>
    <xf numFmtId="3" fontId="21" fillId="0" borderId="15" xfId="2" applyNumberFormat="1" applyFont="1" applyBorder="1" applyAlignment="1">
      <alignment vertical="center"/>
    </xf>
    <xf numFmtId="0" fontId="21" fillId="0" borderId="5" xfId="8" applyFont="1" applyBorder="1" applyAlignment="1">
      <alignment horizontal="center" vertical="center"/>
    </xf>
    <xf numFmtId="0" fontId="5" fillId="4" borderId="17" xfId="8" applyFont="1" applyFill="1" applyBorder="1" applyAlignment="1">
      <alignment horizontal="center" vertical="center"/>
    </xf>
    <xf numFmtId="3" fontId="5" fillId="4" borderId="7" xfId="2" applyNumberFormat="1" applyFont="1" applyFill="1" applyBorder="1" applyAlignment="1">
      <alignment vertical="center"/>
    </xf>
    <xf numFmtId="3" fontId="5" fillId="4" borderId="10" xfId="2" applyNumberFormat="1" applyFont="1" applyFill="1" applyBorder="1" applyAlignment="1">
      <alignment vertical="center"/>
    </xf>
    <xf numFmtId="0" fontId="21" fillId="2" borderId="28" xfId="8" applyFont="1" applyFill="1" applyBorder="1" applyAlignment="1">
      <alignment horizontal="center" vertical="center"/>
    </xf>
    <xf numFmtId="3" fontId="21" fillId="2" borderId="15" xfId="2" applyNumberFormat="1" applyFont="1" applyFill="1" applyBorder="1" applyAlignment="1">
      <alignment vertical="center"/>
    </xf>
    <xf numFmtId="3" fontId="21" fillId="2" borderId="20" xfId="2" applyNumberFormat="1" applyFont="1" applyFill="1" applyBorder="1" applyAlignment="1">
      <alignment vertical="center"/>
    </xf>
    <xf numFmtId="0" fontId="21" fillId="2" borderId="0" xfId="2" applyFont="1" applyFill="1"/>
    <xf numFmtId="0" fontId="21" fillId="2" borderId="16" xfId="8" applyFont="1" applyFill="1" applyBorder="1" applyAlignment="1">
      <alignment horizontal="center" vertical="center"/>
    </xf>
    <xf numFmtId="3" fontId="21" fillId="2" borderId="56" xfId="2" applyNumberFormat="1" applyFont="1" applyFill="1" applyBorder="1" applyAlignment="1">
      <alignment vertical="center"/>
    </xf>
    <xf numFmtId="0" fontId="21" fillId="0" borderId="16" xfId="8" applyFont="1" applyBorder="1" applyAlignment="1">
      <alignment horizontal="center" vertical="center"/>
    </xf>
    <xf numFmtId="3" fontId="21" fillId="0" borderId="56" xfId="2" applyNumberFormat="1" applyFont="1" applyBorder="1" applyAlignment="1">
      <alignment vertical="center"/>
    </xf>
    <xf numFmtId="3" fontId="21" fillId="0" borderId="22" xfId="2" applyNumberFormat="1" applyFont="1" applyBorder="1" applyAlignment="1">
      <alignment vertical="center"/>
    </xf>
    <xf numFmtId="0" fontId="5" fillId="4" borderId="57" xfId="8" applyFont="1" applyFill="1" applyBorder="1" applyAlignment="1">
      <alignment horizontal="center" vertical="center"/>
    </xf>
    <xf numFmtId="3" fontId="5" fillId="4" borderId="13" xfId="2" applyNumberFormat="1" applyFont="1" applyFill="1" applyBorder="1" applyAlignment="1">
      <alignment vertical="center"/>
    </xf>
    <xf numFmtId="3" fontId="5" fillId="4" borderId="8" xfId="2" applyNumberFormat="1" applyFont="1" applyFill="1" applyBorder="1" applyAlignment="1">
      <alignment vertical="center"/>
    </xf>
    <xf numFmtId="0" fontId="7" fillId="3" borderId="20" xfId="8" applyFont="1" applyFill="1" applyBorder="1" applyAlignment="1">
      <alignment horizontal="center" vertical="center"/>
    </xf>
    <xf numFmtId="3" fontId="26" fillId="3" borderId="20" xfId="2" applyNumberFormat="1" applyFont="1" applyFill="1" applyBorder="1" applyAlignment="1">
      <alignment vertical="center"/>
    </xf>
    <xf numFmtId="3" fontId="26" fillId="3" borderId="15" xfId="2" applyNumberFormat="1" applyFont="1" applyFill="1" applyBorder="1" applyAlignment="1">
      <alignment vertical="center"/>
    </xf>
    <xf numFmtId="0" fontId="5" fillId="3" borderId="4" xfId="8" applyFont="1" applyFill="1" applyBorder="1" applyAlignment="1">
      <alignment horizontal="center" vertical="center"/>
    </xf>
    <xf numFmtId="3" fontId="26" fillId="3" borderId="22" xfId="2" applyNumberFormat="1" applyFont="1" applyFill="1" applyBorder="1" applyAlignment="1">
      <alignment vertical="center"/>
    </xf>
    <xf numFmtId="3" fontId="26" fillId="3" borderId="56" xfId="2" applyNumberFormat="1" applyFont="1" applyFill="1" applyBorder="1" applyAlignment="1">
      <alignment vertical="center"/>
    </xf>
    <xf numFmtId="0" fontId="5" fillId="3" borderId="7" xfId="8" applyFont="1" applyFill="1" applyBorder="1" applyAlignment="1">
      <alignment horizontal="center" vertical="center"/>
    </xf>
    <xf numFmtId="3" fontId="5" fillId="3" borderId="7" xfId="2" applyNumberFormat="1" applyFont="1" applyFill="1" applyBorder="1"/>
    <xf numFmtId="3" fontId="5" fillId="3" borderId="10" xfId="2" applyNumberFormat="1" applyFont="1" applyFill="1" applyBorder="1"/>
    <xf numFmtId="3" fontId="12" fillId="3" borderId="7" xfId="2" applyNumberFormat="1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/>
    </xf>
    <xf numFmtId="3" fontId="21" fillId="0" borderId="28" xfId="2" applyNumberFormat="1" applyFont="1" applyBorder="1" applyAlignment="1">
      <alignment vertical="center"/>
    </xf>
    <xf numFmtId="3" fontId="21" fillId="0" borderId="13" xfId="2" applyNumberFormat="1" applyFont="1" applyBorder="1" applyAlignment="1">
      <alignment vertical="center"/>
    </xf>
    <xf numFmtId="3" fontId="21" fillId="0" borderId="5" xfId="2" applyNumberFormat="1" applyFont="1" applyBorder="1" applyAlignment="1">
      <alignment vertical="center"/>
    </xf>
    <xf numFmtId="3" fontId="21" fillId="2" borderId="28" xfId="2" applyNumberFormat="1" applyFont="1" applyFill="1" applyBorder="1" applyAlignment="1">
      <alignment vertical="center"/>
    </xf>
    <xf numFmtId="3" fontId="21" fillId="2" borderId="4" xfId="2" applyNumberFormat="1" applyFont="1" applyFill="1" applyBorder="1" applyAlignment="1">
      <alignment vertical="center"/>
    </xf>
    <xf numFmtId="3" fontId="21" fillId="2" borderId="5" xfId="2" applyNumberFormat="1" applyFont="1" applyFill="1" applyBorder="1" applyAlignment="1">
      <alignment vertical="center"/>
    </xf>
    <xf numFmtId="0" fontId="5" fillId="3" borderId="22" xfId="8" applyFont="1" applyFill="1" applyBorder="1" applyAlignment="1">
      <alignment horizontal="center" vertical="center"/>
    </xf>
    <xf numFmtId="0" fontId="5" fillId="3" borderId="21" xfId="8" applyFont="1" applyFill="1" applyBorder="1" applyAlignment="1">
      <alignment horizontal="center" vertical="center"/>
    </xf>
    <xf numFmtId="0" fontId="28" fillId="0" borderId="0" xfId="2" applyFont="1"/>
    <xf numFmtId="0" fontId="2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Continuous" shrinkToFit="1"/>
    </xf>
    <xf numFmtId="0" fontId="21" fillId="0" borderId="45" xfId="0" applyFont="1" applyBorder="1" applyAlignment="1">
      <alignment horizontal="center" vertical="center"/>
    </xf>
    <xf numFmtId="3" fontId="21" fillId="0" borderId="5" xfId="0" applyNumberFormat="1" applyFont="1" applyBorder="1" applyAlignment="1">
      <alignment vertical="center"/>
    </xf>
    <xf numFmtId="3" fontId="21" fillId="0" borderId="4" xfId="0" applyNumberFormat="1" applyFont="1" applyBorder="1" applyAlignment="1">
      <alignment vertical="center"/>
    </xf>
    <xf numFmtId="0" fontId="21" fillId="0" borderId="0" xfId="0" applyFont="1" applyAlignment="1">
      <alignment shrinkToFit="1"/>
    </xf>
    <xf numFmtId="3" fontId="6" fillId="0" borderId="0" xfId="0" applyNumberFormat="1" applyFont="1"/>
    <xf numFmtId="0" fontId="21" fillId="0" borderId="5" xfId="8" applyFont="1" applyBorder="1" applyAlignment="1">
      <alignment vertical="center" shrinkToFit="1"/>
    </xf>
    <xf numFmtId="3" fontId="21" fillId="2" borderId="4" xfId="0" applyNumberFormat="1" applyFont="1" applyFill="1" applyBorder="1" applyAlignment="1">
      <alignment horizontal="right" vertical="center"/>
    </xf>
    <xf numFmtId="3" fontId="21" fillId="2" borderId="3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3" fontId="21" fillId="0" borderId="16" xfId="0" applyNumberFormat="1" applyFont="1" applyBorder="1" applyAlignment="1">
      <alignment vertical="center"/>
    </xf>
    <xf numFmtId="3" fontId="21" fillId="0" borderId="5" xfId="0" applyNumberFormat="1" applyFont="1" applyBorder="1" applyAlignment="1">
      <alignment horizontal="right" vertical="center"/>
    </xf>
    <xf numFmtId="3" fontId="21" fillId="2" borderId="13" xfId="0" applyNumberFormat="1" applyFont="1" applyFill="1" applyBorder="1" applyAlignment="1">
      <alignment horizontal="right" vertical="center"/>
    </xf>
    <xf numFmtId="3" fontId="5" fillId="2" borderId="41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3" fontId="5" fillId="2" borderId="61" xfId="0" applyNumberFormat="1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3" fontId="5" fillId="4" borderId="6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4" fillId="0" borderId="5" xfId="8" applyFont="1" applyBorder="1" applyAlignment="1">
      <alignment vertical="center" wrapText="1"/>
    </xf>
    <xf numFmtId="3" fontId="18" fillId="0" borderId="4" xfId="0" applyNumberFormat="1" applyFont="1" applyBorder="1" applyAlignment="1">
      <alignment vertical="center"/>
    </xf>
    <xf numFmtId="3" fontId="18" fillId="0" borderId="19" xfId="0" applyNumberFormat="1" applyFont="1" applyBorder="1" applyAlignment="1">
      <alignment vertical="center"/>
    </xf>
    <xf numFmtId="3" fontId="18" fillId="0" borderId="19" xfId="0" applyNumberFormat="1" applyFont="1" applyBorder="1" applyAlignment="1">
      <alignment horizontal="right" vertical="center"/>
    </xf>
    <xf numFmtId="3" fontId="18" fillId="0" borderId="31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" fontId="5" fillId="4" borderId="43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3" fontId="5" fillId="4" borderId="21" xfId="0" applyNumberFormat="1" applyFont="1" applyFill="1" applyBorder="1" applyAlignment="1">
      <alignment horizontal="right" vertical="center"/>
    </xf>
    <xf numFmtId="3" fontId="5" fillId="4" borderId="62" xfId="0" applyNumberFormat="1" applyFont="1" applyFill="1" applyBorder="1" applyAlignment="1">
      <alignment horizontal="right" vertical="center"/>
    </xf>
    <xf numFmtId="3" fontId="5" fillId="3" borderId="53" xfId="0" applyNumberFormat="1" applyFont="1" applyFill="1" applyBorder="1" applyAlignment="1">
      <alignment horizontal="right" vertical="center"/>
    </xf>
    <xf numFmtId="3" fontId="5" fillId="3" borderId="65" xfId="0" applyNumberFormat="1" applyFont="1" applyFill="1" applyBorder="1" applyAlignment="1">
      <alignment horizontal="right" vertical="center"/>
    </xf>
    <xf numFmtId="3" fontId="5" fillId="3" borderId="66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shrinkToFit="1"/>
    </xf>
    <xf numFmtId="0" fontId="5" fillId="3" borderId="67" xfId="0" applyFont="1" applyFill="1" applyBorder="1" applyAlignment="1">
      <alignment horizontal="center" vertical="center" textRotation="90"/>
    </xf>
    <xf numFmtId="0" fontId="5" fillId="3" borderId="65" xfId="0" applyFont="1" applyFill="1" applyBorder="1" applyAlignment="1">
      <alignment horizontal="center" vertical="center"/>
    </xf>
    <xf numFmtId="3" fontId="8" fillId="3" borderId="63" xfId="0" applyNumberFormat="1" applyFont="1" applyFill="1" applyBorder="1" applyAlignment="1">
      <alignment horizontal="center" vertical="center" wrapText="1"/>
    </xf>
    <xf numFmtId="3" fontId="8" fillId="3" borderId="65" xfId="0" applyNumberFormat="1" applyFont="1" applyFill="1" applyBorder="1" applyAlignment="1">
      <alignment horizontal="center" vertical="center" wrapText="1"/>
    </xf>
    <xf numFmtId="3" fontId="8" fillId="3" borderId="54" xfId="0" applyNumberFormat="1" applyFont="1" applyFill="1" applyBorder="1" applyAlignment="1">
      <alignment horizontal="center" vertical="center" wrapText="1"/>
    </xf>
    <xf numFmtId="3" fontId="8" fillId="3" borderId="66" xfId="0" applyNumberFormat="1" applyFont="1" applyFill="1" applyBorder="1" applyAlignment="1">
      <alignment horizontal="center" vertical="center" wrapText="1"/>
    </xf>
    <xf numFmtId="16" fontId="21" fillId="2" borderId="1" xfId="8" applyNumberFormat="1" applyFont="1" applyFill="1" applyBorder="1" applyAlignment="1">
      <alignment horizontal="center" vertical="center"/>
    </xf>
    <xf numFmtId="0" fontId="21" fillId="0" borderId="22" xfId="8" applyFont="1" applyBorder="1" applyAlignment="1">
      <alignment vertical="center" wrapText="1"/>
    </xf>
    <xf numFmtId="3" fontId="21" fillId="0" borderId="16" xfId="8" applyNumberFormat="1" applyFont="1" applyBorder="1" applyAlignment="1">
      <alignment vertical="center" wrapText="1"/>
    </xf>
    <xf numFmtId="3" fontId="21" fillId="2" borderId="22" xfId="8" applyNumberFormat="1" applyFont="1" applyFill="1" applyBorder="1" applyAlignment="1">
      <alignment horizontal="right" vertical="center" wrapText="1"/>
    </xf>
    <xf numFmtId="3" fontId="21" fillId="2" borderId="31" xfId="8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6" fontId="21" fillId="2" borderId="45" xfId="8" applyNumberFormat="1" applyFont="1" applyFill="1" applyBorder="1" applyAlignment="1">
      <alignment horizontal="center" vertical="center"/>
    </xf>
    <xf numFmtId="0" fontId="21" fillId="0" borderId="5" xfId="8" applyFont="1" applyBorder="1" applyAlignment="1">
      <alignment horizontal="left" vertical="center" wrapText="1"/>
    </xf>
    <xf numFmtId="3" fontId="21" fillId="0" borderId="57" xfId="8" applyNumberFormat="1" applyFont="1" applyBorder="1" applyAlignment="1">
      <alignment vertical="center" wrapText="1"/>
    </xf>
    <xf numFmtId="3" fontId="21" fillId="2" borderId="4" xfId="8" applyNumberFormat="1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21" fillId="0" borderId="5" xfId="8" applyFont="1" applyBorder="1" applyAlignment="1">
      <alignment horizontal="left" vertical="center"/>
    </xf>
    <xf numFmtId="3" fontId="21" fillId="0" borderId="5" xfId="8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21" fillId="2" borderId="5" xfId="8" applyNumberFormat="1" applyFont="1" applyFill="1" applyBorder="1" applyAlignment="1">
      <alignment vertical="center" wrapText="1"/>
    </xf>
    <xf numFmtId="3" fontId="21" fillId="2" borderId="57" xfId="8" applyNumberFormat="1" applyFont="1" applyFill="1" applyBorder="1" applyAlignment="1">
      <alignment vertical="center" wrapText="1"/>
    </xf>
    <xf numFmtId="3" fontId="21" fillId="2" borderId="13" xfId="8" applyNumberFormat="1" applyFont="1" applyFill="1" applyBorder="1" applyAlignment="1">
      <alignment horizontal="right" vertical="center" wrapText="1"/>
    </xf>
    <xf numFmtId="0" fontId="21" fillId="2" borderId="5" xfId="8" applyFont="1" applyFill="1" applyBorder="1" applyAlignment="1">
      <alignment horizontal="left" vertical="center" wrapText="1"/>
    </xf>
    <xf numFmtId="3" fontId="5" fillId="3" borderId="17" xfId="0" applyNumberFormat="1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horizontal="right" vertical="center"/>
    </xf>
    <xf numFmtId="0" fontId="33" fillId="0" borderId="0" xfId="0" applyFont="1"/>
    <xf numFmtId="16" fontId="21" fillId="0" borderId="1" xfId="8" applyNumberFormat="1" applyFont="1" applyBorder="1" applyAlignment="1">
      <alignment horizontal="center" vertical="center"/>
    </xf>
    <xf numFmtId="0" fontId="21" fillId="2" borderId="22" xfId="8" applyFont="1" applyFill="1" applyBorder="1" applyAlignment="1">
      <alignment vertical="center" wrapText="1"/>
    </xf>
    <xf numFmtId="3" fontId="21" fillId="2" borderId="22" xfId="8" applyNumberFormat="1" applyFont="1" applyFill="1" applyBorder="1" applyAlignment="1">
      <alignment vertical="center" wrapText="1"/>
    </xf>
    <xf numFmtId="3" fontId="21" fillId="2" borderId="30" xfId="8" applyNumberFormat="1" applyFont="1" applyFill="1" applyBorder="1" applyAlignment="1">
      <alignment vertical="center" wrapText="1"/>
    </xf>
    <xf numFmtId="3" fontId="21" fillId="2" borderId="30" xfId="8" applyNumberFormat="1" applyFont="1" applyFill="1" applyBorder="1" applyAlignment="1">
      <alignment horizontal="right" vertical="center" wrapText="1"/>
    </xf>
    <xf numFmtId="3" fontId="5" fillId="3" borderId="7" xfId="0" applyNumberFormat="1" applyFont="1" applyFill="1" applyBorder="1" applyAlignment="1">
      <alignment horizontal="right" vertical="center"/>
    </xf>
    <xf numFmtId="3" fontId="5" fillId="3" borderId="42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21" fillId="0" borderId="64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3" fontId="21" fillId="0" borderId="29" xfId="0" applyNumberFormat="1" applyFont="1" applyBorder="1" applyAlignment="1">
      <alignment vertical="center"/>
    </xf>
    <xf numFmtId="0" fontId="21" fillId="0" borderId="4" xfId="8" applyFont="1" applyBorder="1" applyAlignment="1">
      <alignment vertical="center" shrinkToFit="1"/>
    </xf>
    <xf numFmtId="3" fontId="18" fillId="0" borderId="4" xfId="0" applyNumberFormat="1" applyFont="1" applyBorder="1" applyAlignment="1">
      <alignment horizontal="right" vertical="center"/>
    </xf>
    <xf numFmtId="0" fontId="21" fillId="0" borderId="5" xfId="0" applyFont="1" applyBorder="1" applyAlignment="1">
      <alignment vertical="center" shrinkToFit="1"/>
    </xf>
    <xf numFmtId="0" fontId="21" fillId="0" borderId="4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21" fillId="0" borderId="29" xfId="0" applyNumberFormat="1" applyFont="1" applyBorder="1" applyAlignment="1">
      <alignment horizontal="right" vertical="center" wrapText="1"/>
    </xf>
    <xf numFmtId="3" fontId="21" fillId="0" borderId="4" xfId="0" applyNumberFormat="1" applyFont="1" applyBorder="1" applyAlignment="1">
      <alignment horizontal="right" vertical="center" wrapText="1"/>
    </xf>
    <xf numFmtId="3" fontId="21" fillId="2" borderId="4" xfId="0" applyNumberFormat="1" applyFont="1" applyFill="1" applyBorder="1" applyAlignment="1">
      <alignment horizontal="right" vertical="center" wrapText="1"/>
    </xf>
    <xf numFmtId="3" fontId="21" fillId="2" borderId="31" xfId="0" applyNumberFormat="1" applyFont="1" applyFill="1" applyBorder="1" applyAlignment="1">
      <alignment horizontal="right" vertical="center" wrapText="1"/>
    </xf>
    <xf numFmtId="0" fontId="24" fillId="0" borderId="22" xfId="8" applyFont="1" applyBorder="1" applyAlignment="1">
      <alignment vertical="center" wrapText="1"/>
    </xf>
    <xf numFmtId="0" fontId="21" fillId="0" borderId="4" xfId="8" applyFont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34" fillId="0" borderId="0" xfId="0" applyFont="1"/>
    <xf numFmtId="0" fontId="35" fillId="0" borderId="0" xfId="0" applyFont="1"/>
    <xf numFmtId="0" fontId="5" fillId="3" borderId="23" xfId="2" applyFont="1" applyFill="1" applyBorder="1" applyAlignment="1">
      <alignment horizontal="left" vertical="center" wrapText="1"/>
    </xf>
    <xf numFmtId="164" fontId="5" fillId="3" borderId="7" xfId="2" applyNumberFormat="1" applyFont="1" applyFill="1" applyBorder="1" applyAlignment="1">
      <alignment horizontal="right" vertical="center" wrapText="1"/>
    </xf>
    <xf numFmtId="3" fontId="5" fillId="3" borderId="7" xfId="2" applyNumberFormat="1" applyFont="1" applyFill="1" applyBorder="1" applyAlignment="1">
      <alignment horizontal="right" vertical="center" wrapText="1"/>
    </xf>
    <xf numFmtId="0" fontId="21" fillId="0" borderId="0" xfId="2" applyFont="1" applyAlignment="1">
      <alignment horizontal="center" vertical="center"/>
    </xf>
    <xf numFmtId="3" fontId="8" fillId="3" borderId="7" xfId="2" applyNumberFormat="1" applyFont="1" applyFill="1" applyBorder="1" applyAlignment="1">
      <alignment horizontal="right" vertical="center" wrapText="1"/>
    </xf>
    <xf numFmtId="0" fontId="5" fillId="3" borderId="7" xfId="2" applyFont="1" applyFill="1" applyBorder="1" applyAlignment="1">
      <alignment horizontal="right" vertical="center" wrapText="1"/>
    </xf>
    <xf numFmtId="3" fontId="5" fillId="3" borderId="18" xfId="2" applyNumberFormat="1" applyFont="1" applyFill="1" applyBorder="1" applyAlignment="1">
      <alignment horizontal="right" vertical="center" wrapText="1"/>
    </xf>
    <xf numFmtId="3" fontId="5" fillId="3" borderId="10" xfId="2" applyNumberFormat="1" applyFont="1" applyFill="1" applyBorder="1" applyAlignment="1">
      <alignment horizontal="right" vertical="center" wrapText="1"/>
    </xf>
    <xf numFmtId="0" fontId="5" fillId="0" borderId="0" xfId="2" applyFont="1" applyAlignment="1">
      <alignment vertical="center"/>
    </xf>
    <xf numFmtId="3" fontId="8" fillId="3" borderId="21" xfId="2" applyNumberFormat="1" applyFont="1" applyFill="1" applyBorder="1" applyAlignment="1">
      <alignment horizontal="right" vertical="center" wrapText="1"/>
    </xf>
    <xf numFmtId="3" fontId="8" fillId="3" borderId="27" xfId="2" applyNumberFormat="1" applyFont="1" applyFill="1" applyBorder="1" applyAlignment="1">
      <alignment horizontal="center" vertical="center" wrapText="1"/>
    </xf>
    <xf numFmtId="3" fontId="5" fillId="3" borderId="23" xfId="0" applyNumberFormat="1" applyFont="1" applyFill="1" applyBorder="1" applyAlignment="1">
      <alignment vertical="center" wrapText="1"/>
    </xf>
    <xf numFmtId="3" fontId="5" fillId="3" borderId="7" xfId="0" applyNumberFormat="1" applyFont="1" applyFill="1" applyBorder="1" applyAlignment="1">
      <alignment vertical="center" wrapText="1"/>
    </xf>
    <xf numFmtId="3" fontId="5" fillId="3" borderId="18" xfId="0" applyNumberFormat="1" applyFont="1" applyFill="1" applyBorder="1" applyAlignment="1">
      <alignment vertical="center" wrapText="1"/>
    </xf>
    <xf numFmtId="3" fontId="5" fillId="3" borderId="7" xfId="0" applyNumberFormat="1" applyFont="1" applyFill="1" applyBorder="1" applyAlignment="1">
      <alignment horizontal="right" vertical="center" wrapText="1"/>
    </xf>
    <xf numFmtId="3" fontId="5" fillId="3" borderId="10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164" fontId="5" fillId="3" borderId="7" xfId="0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3" fontId="5" fillId="3" borderId="18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8" fillId="3" borderId="7" xfId="0" applyNumberFormat="1" applyFont="1" applyFill="1" applyBorder="1" applyAlignment="1">
      <alignment horizontal="right" vertical="center" wrapText="1"/>
    </xf>
    <xf numFmtId="3" fontId="8" fillId="3" borderId="23" xfId="0" applyNumberFormat="1" applyFont="1" applyFill="1" applyBorder="1" applyAlignment="1">
      <alignment horizontal="right" vertical="center" wrapText="1"/>
    </xf>
    <xf numFmtId="3" fontId="8" fillId="3" borderId="10" xfId="0" applyNumberFormat="1" applyFont="1" applyFill="1" applyBorder="1" applyAlignment="1">
      <alignment horizontal="right" vertical="center" wrapText="1"/>
    </xf>
    <xf numFmtId="3" fontId="8" fillId="3" borderId="21" xfId="0" applyNumberFormat="1" applyFont="1" applyFill="1" applyBorder="1" applyAlignment="1">
      <alignment horizontal="right" vertical="center" wrapText="1"/>
    </xf>
    <xf numFmtId="3" fontId="8" fillId="3" borderId="27" xfId="0" applyNumberFormat="1" applyFont="1" applyFill="1" applyBorder="1" applyAlignment="1">
      <alignment horizontal="right" vertical="center" wrapText="1"/>
    </xf>
    <xf numFmtId="3" fontId="8" fillId="3" borderId="7" xfId="2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18" fillId="2" borderId="38" xfId="0" applyNumberFormat="1" applyFont="1" applyFill="1" applyBorder="1"/>
    <xf numFmtId="3" fontId="21" fillId="2" borderId="38" xfId="0" applyNumberFormat="1" applyFont="1" applyFill="1" applyBorder="1"/>
    <xf numFmtId="3" fontId="18" fillId="2" borderId="6" xfId="0" applyNumberFormat="1" applyFont="1" applyFill="1" applyBorder="1"/>
    <xf numFmtId="3" fontId="21" fillId="2" borderId="6" xfId="0" applyNumberFormat="1" applyFont="1" applyFill="1" applyBorder="1"/>
    <xf numFmtId="3" fontId="21" fillId="2" borderId="0" xfId="0" applyNumberFormat="1" applyFont="1" applyFill="1"/>
    <xf numFmtId="0" fontId="6" fillId="2" borderId="4" xfId="8" applyFont="1" applyFill="1" applyBorder="1" applyAlignment="1">
      <alignment horizontal="center" vertical="center"/>
    </xf>
    <xf numFmtId="3" fontId="21" fillId="2" borderId="13" xfId="2" applyNumberFormat="1" applyFont="1" applyFill="1" applyBorder="1" applyAlignment="1">
      <alignment vertical="center"/>
    </xf>
    <xf numFmtId="49" fontId="8" fillId="4" borderId="13" xfId="2" applyNumberFormat="1" applyFont="1" applyFill="1" applyBorder="1" applyAlignment="1">
      <alignment horizontal="center" vertical="center" wrapText="1"/>
    </xf>
    <xf numFmtId="49" fontId="8" fillId="4" borderId="32" xfId="2" applyNumberFormat="1" applyFont="1" applyFill="1" applyBorder="1" applyAlignment="1">
      <alignment horizontal="center" vertical="center" wrapText="1"/>
    </xf>
    <xf numFmtId="49" fontId="8" fillId="4" borderId="21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5" fillId="0" borderId="28" xfId="2" applyFont="1" applyBorder="1" applyAlignment="1">
      <alignment horizontal="left" vertical="center" wrapText="1"/>
    </xf>
    <xf numFmtId="0" fontId="5" fillId="0" borderId="34" xfId="2" applyFont="1" applyBorder="1" applyAlignment="1">
      <alignment horizontal="left" vertical="center" wrapText="1"/>
    </xf>
    <xf numFmtId="0" fontId="5" fillId="0" borderId="25" xfId="2" applyFont="1" applyBorder="1" applyAlignment="1">
      <alignment horizontal="left" vertical="center" wrapText="1"/>
    </xf>
    <xf numFmtId="49" fontId="8" fillId="0" borderId="13" xfId="2" applyNumberFormat="1" applyFont="1" applyBorder="1" applyAlignment="1">
      <alignment horizontal="center" vertical="center"/>
    </xf>
    <xf numFmtId="49" fontId="8" fillId="0" borderId="32" xfId="2" applyNumberFormat="1" applyFont="1" applyBorder="1" applyAlignment="1">
      <alignment horizontal="center" vertical="center"/>
    </xf>
    <xf numFmtId="0" fontId="5" fillId="4" borderId="5" xfId="2" applyFont="1" applyFill="1" applyBorder="1" applyAlignment="1">
      <alignment horizontal="left" vertical="center" wrapText="1"/>
    </xf>
    <xf numFmtId="0" fontId="5" fillId="4" borderId="41" xfId="2" applyFont="1" applyFill="1" applyBorder="1" applyAlignment="1">
      <alignment horizontal="left" vertical="center" wrapText="1"/>
    </xf>
    <xf numFmtId="0" fontId="5" fillId="4" borderId="19" xfId="2" applyFont="1" applyFill="1" applyBorder="1" applyAlignment="1">
      <alignment horizontal="left" vertical="center" wrapText="1"/>
    </xf>
    <xf numFmtId="0" fontId="5" fillId="3" borderId="35" xfId="2" applyFont="1" applyFill="1" applyBorder="1" applyAlignment="1">
      <alignment horizontal="left" vertical="center" wrapText="1"/>
    </xf>
    <xf numFmtId="0" fontId="5" fillId="3" borderId="18" xfId="2" applyFont="1" applyFill="1" applyBorder="1" applyAlignment="1">
      <alignment horizontal="left" vertical="center" wrapText="1"/>
    </xf>
    <xf numFmtId="0" fontId="5" fillId="3" borderId="23" xfId="2" applyFont="1" applyFill="1" applyBorder="1" applyAlignment="1">
      <alignment horizontal="left" vertical="center" wrapText="1"/>
    </xf>
    <xf numFmtId="0" fontId="5" fillId="4" borderId="5" xfId="2" applyFont="1" applyFill="1" applyBorder="1" applyAlignment="1">
      <alignment horizontal="left" vertical="center"/>
    </xf>
    <xf numFmtId="0" fontId="5" fillId="4" borderId="41" xfId="2" applyFont="1" applyFill="1" applyBorder="1" applyAlignment="1">
      <alignment horizontal="left" vertical="center"/>
    </xf>
    <xf numFmtId="0" fontId="5" fillId="4" borderId="19" xfId="2" applyFont="1" applyFill="1" applyBorder="1" applyAlignment="1">
      <alignment horizontal="left" vertical="center"/>
    </xf>
    <xf numFmtId="49" fontId="7" fillId="4" borderId="13" xfId="2" applyNumberFormat="1" applyFont="1" applyFill="1" applyBorder="1" applyAlignment="1">
      <alignment horizontal="center" vertical="center" wrapText="1"/>
    </xf>
    <xf numFmtId="49" fontId="7" fillId="4" borderId="32" xfId="2" applyNumberFormat="1" applyFont="1" applyFill="1" applyBorder="1" applyAlignment="1">
      <alignment horizontal="center" vertical="center" wrapText="1"/>
    </xf>
    <xf numFmtId="49" fontId="7" fillId="4" borderId="19" xfId="2" applyNumberFormat="1" applyFont="1" applyFill="1" applyBorder="1" applyAlignment="1">
      <alignment horizontal="center" vertical="center" wrapText="1"/>
    </xf>
    <xf numFmtId="49" fontId="7" fillId="4" borderId="24" xfId="2" applyNumberFormat="1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left" vertical="center" wrapText="1"/>
    </xf>
    <xf numFmtId="0" fontId="5" fillId="3" borderId="7" xfId="2" applyFont="1" applyFill="1" applyBorder="1" applyAlignment="1">
      <alignment horizontal="left" vertical="center" wrapText="1"/>
    </xf>
    <xf numFmtId="0" fontId="5" fillId="4" borderId="16" xfId="2" applyFont="1" applyFill="1" applyBorder="1" applyAlignment="1">
      <alignment horizontal="left" vertical="center" wrapText="1"/>
    </xf>
    <xf numFmtId="0" fontId="5" fillId="4" borderId="29" xfId="2" applyFont="1" applyFill="1" applyBorder="1" applyAlignment="1">
      <alignment horizontal="left" vertical="center" wrapText="1"/>
    </xf>
    <xf numFmtId="0" fontId="5" fillId="4" borderId="30" xfId="2" applyFont="1" applyFill="1" applyBorder="1" applyAlignment="1">
      <alignment horizontal="left" vertical="center" wrapText="1"/>
    </xf>
    <xf numFmtId="0" fontId="5" fillId="4" borderId="25" xfId="2" applyFont="1" applyFill="1" applyBorder="1" applyAlignment="1">
      <alignment horizontal="left" vertical="center"/>
    </xf>
    <xf numFmtId="0" fontId="5" fillId="4" borderId="20" xfId="2" applyFont="1" applyFill="1" applyBorder="1" applyAlignment="1">
      <alignment horizontal="left" vertical="center"/>
    </xf>
    <xf numFmtId="49" fontId="8" fillId="4" borderId="22" xfId="2" applyNumberFormat="1" applyFont="1" applyFill="1" applyBorder="1" applyAlignment="1">
      <alignment horizontal="center" vertical="center" wrapText="1"/>
    </xf>
    <xf numFmtId="3" fontId="7" fillId="4" borderId="2" xfId="2" applyNumberFormat="1" applyFont="1" applyFill="1" applyBorder="1" applyAlignment="1">
      <alignment horizontal="center" vertical="top" wrapText="1"/>
    </xf>
    <xf numFmtId="3" fontId="7" fillId="4" borderId="1" xfId="2" applyNumberFormat="1" applyFont="1" applyFill="1" applyBorder="1" applyAlignment="1">
      <alignment horizontal="center" vertical="top" wrapText="1"/>
    </xf>
    <xf numFmtId="49" fontId="8" fillId="4" borderId="19" xfId="2" applyNumberFormat="1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8" fillId="0" borderId="19" xfId="2" applyFont="1" applyBorder="1" applyAlignment="1">
      <alignment horizontal="left" vertical="center" wrapText="1"/>
    </xf>
    <xf numFmtId="3" fontId="8" fillId="0" borderId="13" xfId="2" applyNumberFormat="1" applyFont="1" applyBorder="1" applyAlignment="1">
      <alignment horizontal="center" vertical="center" wrapText="1"/>
    </xf>
    <xf numFmtId="3" fontId="8" fillId="0" borderId="32" xfId="2" applyNumberFormat="1" applyFont="1" applyBorder="1" applyAlignment="1">
      <alignment horizontal="center" vertical="center" wrapText="1"/>
    </xf>
    <xf numFmtId="3" fontId="8" fillId="0" borderId="22" xfId="2" applyNumberFormat="1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wrapText="1"/>
    </xf>
    <xf numFmtId="0" fontId="5" fillId="4" borderId="33" xfId="2" applyFont="1" applyFill="1" applyBorder="1" applyAlignment="1">
      <alignment horizontal="center" vertical="center" wrapText="1"/>
    </xf>
    <xf numFmtId="0" fontId="5" fillId="4" borderId="34" xfId="2" applyFont="1" applyFill="1" applyBorder="1" applyAlignment="1">
      <alignment horizontal="center" vertical="center" wrapText="1"/>
    </xf>
    <xf numFmtId="0" fontId="5" fillId="4" borderId="26" xfId="2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41" xfId="2" applyFont="1" applyBorder="1" applyAlignment="1">
      <alignment horizontal="left" vertical="center" wrapText="1"/>
    </xf>
    <xf numFmtId="0" fontId="5" fillId="0" borderId="19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/>
    </xf>
    <xf numFmtId="0" fontId="5" fillId="0" borderId="41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 wrapText="1"/>
    </xf>
    <xf numFmtId="0" fontId="7" fillId="0" borderId="19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5" fillId="4" borderId="30" xfId="2" applyFont="1" applyFill="1" applyBorder="1" applyAlignment="1">
      <alignment horizontal="left" vertical="center"/>
    </xf>
    <xf numFmtId="0" fontId="5" fillId="4" borderId="22" xfId="2" applyFont="1" applyFill="1" applyBorder="1" applyAlignment="1">
      <alignment horizontal="left" vertical="center"/>
    </xf>
    <xf numFmtId="49" fontId="12" fillId="4" borderId="13" xfId="2" applyNumberFormat="1" applyFont="1" applyFill="1" applyBorder="1" applyAlignment="1">
      <alignment horizontal="center" vertical="center" wrapText="1"/>
    </xf>
    <xf numFmtId="49" fontId="12" fillId="4" borderId="32" xfId="2" applyNumberFormat="1" applyFont="1" applyFill="1" applyBorder="1" applyAlignment="1">
      <alignment horizontal="center" vertical="center" wrapText="1"/>
    </xf>
    <xf numFmtId="49" fontId="12" fillId="4" borderId="22" xfId="2" applyNumberFormat="1" applyFont="1" applyFill="1" applyBorder="1" applyAlignment="1">
      <alignment horizontal="center" vertical="center" wrapText="1"/>
    </xf>
    <xf numFmtId="49" fontId="13" fillId="4" borderId="19" xfId="2" applyNumberFormat="1" applyFont="1" applyFill="1" applyBorder="1" applyAlignment="1">
      <alignment horizontal="center" vertical="center" wrapText="1"/>
    </xf>
    <xf numFmtId="0" fontId="5" fillId="0" borderId="16" xfId="2" applyFont="1" applyBorder="1" applyAlignment="1">
      <alignment horizontal="left" vertical="center"/>
    </xf>
    <xf numFmtId="0" fontId="5" fillId="0" borderId="29" xfId="2" applyFont="1" applyBorder="1" applyAlignment="1">
      <alignment horizontal="left" vertical="center"/>
    </xf>
    <xf numFmtId="0" fontId="5" fillId="0" borderId="30" xfId="2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14" fillId="3" borderId="33" xfId="2" applyFont="1" applyFill="1" applyBorder="1" applyAlignment="1">
      <alignment horizontal="center" vertical="center" wrapText="1"/>
    </xf>
    <xf numFmtId="0" fontId="14" fillId="3" borderId="34" xfId="2" applyFont="1" applyFill="1" applyBorder="1" applyAlignment="1">
      <alignment horizontal="center" vertical="center" wrapText="1"/>
    </xf>
    <xf numFmtId="0" fontId="14" fillId="3" borderId="26" xfId="2" applyFont="1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/>
    </xf>
    <xf numFmtId="0" fontId="9" fillId="3" borderId="23" xfId="2" applyFont="1" applyFill="1" applyBorder="1" applyAlignment="1">
      <alignment horizontal="center" vertical="center"/>
    </xf>
    <xf numFmtId="3" fontId="7" fillId="3" borderId="17" xfId="2" applyNumberFormat="1" applyFont="1" applyFill="1" applyBorder="1" applyAlignment="1">
      <alignment horizontal="center" vertical="center" wrapText="1"/>
    </xf>
    <xf numFmtId="3" fontId="7" fillId="3" borderId="23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/>
    </xf>
    <xf numFmtId="49" fontId="8" fillId="4" borderId="13" xfId="0" applyNumberFormat="1" applyFont="1" applyFill="1" applyBorder="1" applyAlignment="1">
      <alignment horizontal="center" vertical="center" wrapText="1"/>
    </xf>
    <xf numFmtId="49" fontId="8" fillId="4" borderId="32" xfId="0" applyNumberFormat="1" applyFont="1" applyFill="1" applyBorder="1" applyAlignment="1">
      <alignment horizontal="center" vertical="center" wrapText="1"/>
    </xf>
    <xf numFmtId="49" fontId="8" fillId="4" borderId="2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6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wrapText="1"/>
    </xf>
    <xf numFmtId="0" fontId="5" fillId="4" borderId="41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/>
    </xf>
    <xf numFmtId="0" fontId="5" fillId="4" borderId="41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left" vertical="center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32" xfId="0" applyNumberFormat="1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49" fontId="7" fillId="4" borderId="24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49" fontId="8" fillId="4" borderId="22" xfId="0" applyNumberFormat="1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top" wrapText="1"/>
    </xf>
    <xf numFmtId="3" fontId="7" fillId="4" borderId="1" xfId="0" applyNumberFormat="1" applyFont="1" applyFill="1" applyBorder="1" applyAlignment="1">
      <alignment horizontal="center" vertical="top" wrapText="1"/>
    </xf>
    <xf numFmtId="49" fontId="8" fillId="4" borderId="19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3" fontId="8" fillId="0" borderId="32" xfId="0" applyNumberFormat="1" applyFont="1" applyBorder="1" applyAlignment="1">
      <alignment horizontal="center" vertical="center" wrapText="1"/>
    </xf>
    <xf numFmtId="3" fontId="8" fillId="0" borderId="2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49" fontId="12" fillId="4" borderId="13" xfId="0" applyNumberFormat="1" applyFont="1" applyFill="1" applyBorder="1" applyAlignment="1">
      <alignment horizontal="center" vertical="center" wrapText="1"/>
    </xf>
    <xf numFmtId="49" fontId="12" fillId="4" borderId="32" xfId="0" applyNumberFormat="1" applyFont="1" applyFill="1" applyBorder="1" applyAlignment="1">
      <alignment horizontal="center" vertical="center" wrapText="1"/>
    </xf>
    <xf numFmtId="49" fontId="12" fillId="4" borderId="22" xfId="0" applyNumberFormat="1" applyFont="1" applyFill="1" applyBorder="1" applyAlignment="1">
      <alignment horizontal="center" vertical="center" wrapText="1"/>
    </xf>
    <xf numFmtId="49" fontId="13" fillId="4" borderId="19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3" fontId="7" fillId="3" borderId="17" xfId="0" applyNumberFormat="1" applyFont="1" applyFill="1" applyBorder="1" applyAlignment="1">
      <alignment horizontal="center" vertical="center" wrapText="1"/>
    </xf>
    <xf numFmtId="3" fontId="7" fillId="3" borderId="23" xfId="0" applyNumberFormat="1" applyFont="1" applyFill="1" applyBorder="1" applyAlignment="1">
      <alignment horizontal="center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29" xfId="2" applyFont="1" applyBorder="1" applyAlignment="1">
      <alignment horizontal="left" vertical="center" wrapText="1"/>
    </xf>
    <xf numFmtId="0" fontId="5" fillId="0" borderId="30" xfId="2" applyFont="1" applyBorder="1" applyAlignment="1">
      <alignment horizontal="left" vertical="center" wrapText="1"/>
    </xf>
    <xf numFmtId="0" fontId="25" fillId="3" borderId="12" xfId="8" applyFont="1" applyFill="1" applyBorder="1" applyAlignment="1">
      <alignment horizontal="center" vertical="center"/>
    </xf>
    <xf numFmtId="0" fontId="25" fillId="3" borderId="7" xfId="8" applyFont="1" applyFill="1" applyBorder="1" applyAlignment="1">
      <alignment horizontal="center" vertical="center"/>
    </xf>
    <xf numFmtId="0" fontId="26" fillId="3" borderId="49" xfId="8" applyFont="1" applyFill="1" applyBorder="1" applyAlignment="1">
      <alignment horizontal="center" vertical="center" shrinkToFit="1"/>
    </xf>
    <xf numFmtId="0" fontId="26" fillId="3" borderId="43" xfId="8" applyFont="1" applyFill="1" applyBorder="1" applyAlignment="1">
      <alignment horizontal="center" vertical="center" shrinkToFi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12" xfId="8" applyFont="1" applyFill="1" applyBorder="1" applyAlignment="1">
      <alignment horizontal="center" vertical="center"/>
    </xf>
    <xf numFmtId="0" fontId="8" fillId="3" borderId="7" xfId="8" applyFont="1" applyFill="1" applyBorder="1" applyAlignment="1">
      <alignment horizontal="center" vertical="center"/>
    </xf>
    <xf numFmtId="0" fontId="8" fillId="3" borderId="46" xfId="2" applyFont="1" applyFill="1" applyBorder="1" applyAlignment="1">
      <alignment horizontal="center" vertical="center"/>
    </xf>
    <xf numFmtId="0" fontId="8" fillId="3" borderId="47" xfId="2" applyFont="1" applyFill="1" applyBorder="1" applyAlignment="1">
      <alignment horizontal="center" vertical="center"/>
    </xf>
    <xf numFmtId="0" fontId="8" fillId="3" borderId="48" xfId="2" applyFont="1" applyFill="1" applyBorder="1" applyAlignment="1">
      <alignment horizontal="center" vertical="center"/>
    </xf>
    <xf numFmtId="0" fontId="5" fillId="0" borderId="43" xfId="0" applyFont="1" applyBorder="1" applyAlignment="1">
      <alignment horizontal="right"/>
    </xf>
    <xf numFmtId="0" fontId="8" fillId="3" borderId="44" xfId="0" applyFont="1" applyFill="1" applyBorder="1" applyAlignment="1">
      <alignment horizontal="center" vertical="center" textRotation="90"/>
    </xf>
    <xf numFmtId="0" fontId="8" fillId="3" borderId="45" xfId="0" applyFont="1" applyFill="1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textRotation="90"/>
    </xf>
    <xf numFmtId="0" fontId="5" fillId="3" borderId="20" xfId="0" applyFont="1" applyFill="1" applyBorder="1" applyAlignment="1">
      <alignment horizontal="center" vertical="center"/>
    </xf>
    <xf numFmtId="3" fontId="5" fillId="3" borderId="20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3" borderId="46" xfId="8" applyFont="1" applyFill="1" applyBorder="1" applyAlignment="1">
      <alignment horizontal="center" vertical="center" shrinkToFit="1"/>
    </xf>
    <xf numFmtId="0" fontId="26" fillId="3" borderId="47" xfId="8" applyFont="1" applyFill="1" applyBorder="1" applyAlignment="1">
      <alignment horizontal="center" vertical="center" shrinkToFit="1"/>
    </xf>
    <xf numFmtId="0" fontId="26" fillId="3" borderId="58" xfId="8" applyFont="1" applyFill="1" applyBorder="1" applyAlignment="1">
      <alignment horizontal="center" vertical="center" shrinkToFit="1"/>
    </xf>
    <xf numFmtId="0" fontId="26" fillId="3" borderId="38" xfId="8" applyFont="1" applyFill="1" applyBorder="1" applyAlignment="1">
      <alignment horizontal="center" vertical="center" shrinkToFit="1"/>
    </xf>
    <xf numFmtId="0" fontId="26" fillId="3" borderId="0" xfId="8" applyFont="1" applyFill="1" applyAlignment="1">
      <alignment horizontal="center" vertical="center" shrinkToFit="1"/>
    </xf>
    <xf numFmtId="0" fontId="26" fillId="3" borderId="59" xfId="8" applyFont="1" applyFill="1" applyBorder="1" applyAlignment="1">
      <alignment horizontal="center" vertical="center" shrinkToFit="1"/>
    </xf>
    <xf numFmtId="0" fontId="26" fillId="3" borderId="60" xfId="8" applyFont="1" applyFill="1" applyBorder="1" applyAlignment="1">
      <alignment horizontal="center" vertical="center" shrinkToFit="1"/>
    </xf>
    <xf numFmtId="0" fontId="18" fillId="0" borderId="47" xfId="2" applyFont="1" applyBorder="1" applyAlignment="1">
      <alignment horizontal="left"/>
    </xf>
    <xf numFmtId="0" fontId="21" fillId="2" borderId="14" xfId="8" applyFont="1" applyFill="1" applyBorder="1" applyAlignment="1">
      <alignment horizontal="center" vertical="center"/>
    </xf>
    <xf numFmtId="0" fontId="21" fillId="2" borderId="2" xfId="8" applyFont="1" applyFill="1" applyBorder="1" applyAlignment="1">
      <alignment horizontal="center" vertical="center"/>
    </xf>
    <xf numFmtId="0" fontId="21" fillId="2" borderId="11" xfId="8" applyFont="1" applyFill="1" applyBorder="1" applyAlignment="1">
      <alignment horizontal="center" vertical="center"/>
    </xf>
    <xf numFmtId="0" fontId="21" fillId="2" borderId="55" xfId="8" applyFont="1" applyFill="1" applyBorder="1" applyAlignment="1">
      <alignment horizontal="center" vertical="center" wrapText="1"/>
    </xf>
    <xf numFmtId="0" fontId="21" fillId="2" borderId="32" xfId="8" applyFont="1" applyFill="1" applyBorder="1" applyAlignment="1">
      <alignment horizontal="center" vertical="center" wrapText="1"/>
    </xf>
    <xf numFmtId="0" fontId="21" fillId="2" borderId="21" xfId="8" applyFont="1" applyFill="1" applyBorder="1" applyAlignment="1">
      <alignment horizontal="center" vertical="center" wrapText="1"/>
    </xf>
    <xf numFmtId="0" fontId="24" fillId="2" borderId="55" xfId="2" applyFont="1" applyFill="1" applyBorder="1" applyAlignment="1">
      <alignment horizontal="center" vertical="center"/>
    </xf>
    <xf numFmtId="0" fontId="24" fillId="2" borderId="32" xfId="2" applyFont="1" applyFill="1" applyBorder="1" applyAlignment="1">
      <alignment horizontal="center" vertical="center"/>
    </xf>
    <xf numFmtId="0" fontId="24" fillId="2" borderId="21" xfId="2" applyFont="1" applyFill="1" applyBorder="1" applyAlignment="1">
      <alignment horizontal="center" vertical="center"/>
    </xf>
    <xf numFmtId="165" fontId="21" fillId="2" borderId="55" xfId="8" applyNumberFormat="1" applyFont="1" applyFill="1" applyBorder="1" applyAlignment="1">
      <alignment horizontal="center" vertical="center"/>
    </xf>
    <xf numFmtId="165" fontId="21" fillId="2" borderId="32" xfId="8" applyNumberFormat="1" applyFont="1" applyFill="1" applyBorder="1" applyAlignment="1">
      <alignment horizontal="center" vertical="center"/>
    </xf>
    <xf numFmtId="165" fontId="21" fillId="2" borderId="21" xfId="8" applyNumberFormat="1" applyFont="1" applyFill="1" applyBorder="1" applyAlignment="1">
      <alignment horizontal="center" vertical="center"/>
    </xf>
    <xf numFmtId="0" fontId="24" fillId="2" borderId="55" xfId="2" applyFont="1" applyFill="1" applyBorder="1" applyAlignment="1">
      <alignment horizontal="center" vertical="center" wrapText="1"/>
    </xf>
    <xf numFmtId="0" fontId="24" fillId="2" borderId="32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27" fillId="2" borderId="32" xfId="8" applyFont="1" applyFill="1" applyBorder="1" applyAlignment="1">
      <alignment horizontal="center" vertical="center" wrapText="1"/>
    </xf>
    <xf numFmtId="0" fontId="27" fillId="2" borderId="21" xfId="8" applyFont="1" applyFill="1" applyBorder="1" applyAlignment="1">
      <alignment horizontal="center" vertical="center" wrapText="1"/>
    </xf>
    <xf numFmtId="0" fontId="24" fillId="2" borderId="55" xfId="8" applyFont="1" applyFill="1" applyBorder="1" applyAlignment="1">
      <alignment horizontal="center" vertical="center" wrapText="1"/>
    </xf>
    <xf numFmtId="0" fontId="24" fillId="2" borderId="32" xfId="8" applyFont="1" applyFill="1" applyBorder="1" applyAlignment="1">
      <alignment horizontal="center" vertical="center" wrapText="1"/>
    </xf>
    <xf numFmtId="0" fontId="24" fillId="2" borderId="21" xfId="8" applyFont="1" applyFill="1" applyBorder="1" applyAlignment="1">
      <alignment horizontal="center" vertical="center" wrapText="1"/>
    </xf>
    <xf numFmtId="0" fontId="27" fillId="2" borderId="55" xfId="8" applyFont="1" applyFill="1" applyBorder="1" applyAlignment="1">
      <alignment horizontal="center" vertical="center" wrapText="1"/>
    </xf>
    <xf numFmtId="0" fontId="24" fillId="2" borderId="55" xfId="8" applyFont="1" applyFill="1" applyBorder="1" applyAlignment="1">
      <alignment horizontal="center" vertical="center"/>
    </xf>
    <xf numFmtId="0" fontId="24" fillId="2" borderId="32" xfId="8" applyFont="1" applyFill="1" applyBorder="1" applyAlignment="1">
      <alignment horizontal="center" vertical="center"/>
    </xf>
    <xf numFmtId="0" fontId="24" fillId="2" borderId="21" xfId="8" applyFont="1" applyFill="1" applyBorder="1" applyAlignment="1">
      <alignment horizontal="center" vertical="center"/>
    </xf>
    <xf numFmtId="0" fontId="21" fillId="2" borderId="55" xfId="8" applyFont="1" applyFill="1" applyBorder="1" applyAlignment="1">
      <alignment horizontal="center" vertical="center"/>
    </xf>
    <xf numFmtId="0" fontId="21" fillId="2" borderId="32" xfId="8" applyFont="1" applyFill="1" applyBorder="1" applyAlignment="1">
      <alignment horizontal="center" vertical="center"/>
    </xf>
    <xf numFmtId="0" fontId="21" fillId="2" borderId="21" xfId="8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5" fillId="0" borderId="43" xfId="2" applyFont="1" applyBorder="1" applyAlignment="1">
      <alignment horizontal="right"/>
    </xf>
    <xf numFmtId="0" fontId="8" fillId="3" borderId="14" xfId="2" applyFont="1" applyFill="1" applyBorder="1" applyAlignment="1">
      <alignment horizontal="center" vertical="center" textRotation="90"/>
    </xf>
    <xf numFmtId="0" fontId="8" fillId="3" borderId="2" xfId="2" applyFont="1" applyFill="1" applyBorder="1" applyAlignment="1">
      <alignment horizontal="center" vertical="center" textRotation="90"/>
    </xf>
    <xf numFmtId="0" fontId="8" fillId="3" borderId="11" xfId="2" applyFont="1" applyFill="1" applyBorder="1" applyAlignment="1">
      <alignment horizontal="center" vertical="center" textRotation="90"/>
    </xf>
    <xf numFmtId="3" fontId="8" fillId="3" borderId="13" xfId="2" applyNumberFormat="1" applyFont="1" applyFill="1" applyBorder="1" applyAlignment="1">
      <alignment horizontal="center" vertical="center" wrapText="1"/>
    </xf>
    <xf numFmtId="3" fontId="8" fillId="3" borderId="21" xfId="2" applyNumberFormat="1" applyFont="1" applyFill="1" applyBorder="1" applyAlignment="1">
      <alignment horizontal="center" vertical="center" wrapText="1"/>
    </xf>
    <xf numFmtId="3" fontId="5" fillId="3" borderId="13" xfId="2" applyNumberFormat="1" applyFont="1" applyFill="1" applyBorder="1" applyAlignment="1">
      <alignment horizontal="center" vertical="center" wrapText="1"/>
    </xf>
    <xf numFmtId="3" fontId="5" fillId="3" borderId="21" xfId="2" applyNumberFormat="1" applyFont="1" applyFill="1" applyBorder="1" applyAlignment="1">
      <alignment horizontal="center" vertical="center" wrapText="1"/>
    </xf>
    <xf numFmtId="0" fontId="5" fillId="3" borderId="28" xfId="2" applyFont="1" applyFill="1" applyBorder="1" applyAlignment="1">
      <alignment horizontal="center" vertical="center"/>
    </xf>
    <xf numFmtId="0" fontId="5" fillId="3" borderId="34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3" fontId="5" fillId="3" borderId="28" xfId="2" applyNumberFormat="1" applyFont="1" applyFill="1" applyBorder="1" applyAlignment="1">
      <alignment horizontal="center" vertical="center" wrapText="1"/>
    </xf>
    <xf numFmtId="3" fontId="5" fillId="3" borderId="34" xfId="2" applyNumberFormat="1" applyFont="1" applyFill="1" applyBorder="1" applyAlignment="1">
      <alignment horizontal="center" vertical="center" wrapText="1"/>
    </xf>
    <xf numFmtId="3" fontId="5" fillId="3" borderId="25" xfId="2" applyNumberFormat="1" applyFont="1" applyFill="1" applyBorder="1" applyAlignment="1">
      <alignment horizontal="center" vertical="center" wrapText="1"/>
    </xf>
    <xf numFmtId="0" fontId="5" fillId="3" borderId="55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5" fillId="3" borderId="21" xfId="2" applyFont="1" applyFill="1" applyBorder="1" applyAlignment="1">
      <alignment horizontal="center" vertical="center"/>
    </xf>
    <xf numFmtId="0" fontId="5" fillId="3" borderId="50" xfId="2" applyFont="1" applyFill="1" applyBorder="1" applyAlignment="1">
      <alignment horizontal="center" vertical="center"/>
    </xf>
    <xf numFmtId="0" fontId="5" fillId="3" borderId="51" xfId="2" applyFont="1" applyFill="1" applyBorder="1" applyAlignment="1">
      <alignment horizontal="center" vertical="center"/>
    </xf>
    <xf numFmtId="0" fontId="5" fillId="3" borderId="27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7" fillId="3" borderId="32" xfId="2" applyFont="1" applyFill="1" applyBorder="1" applyAlignment="1">
      <alignment horizontal="center" vertical="center"/>
    </xf>
    <xf numFmtId="0" fontId="7" fillId="3" borderId="21" xfId="2" applyFont="1" applyFill="1" applyBorder="1" applyAlignment="1">
      <alignment horizontal="center" vertical="center"/>
    </xf>
    <xf numFmtId="3" fontId="5" fillId="3" borderId="5" xfId="2" applyNumberFormat="1" applyFont="1" applyFill="1" applyBorder="1" applyAlignment="1">
      <alignment horizontal="center" vertical="center" wrapText="1"/>
    </xf>
    <xf numFmtId="3" fontId="5" fillId="3" borderId="41" xfId="2" applyNumberFormat="1" applyFont="1" applyFill="1" applyBorder="1" applyAlignment="1">
      <alignment horizontal="center" vertical="center" wrapText="1"/>
    </xf>
    <xf numFmtId="3" fontId="5" fillId="3" borderId="19" xfId="2" applyNumberFormat="1" applyFont="1" applyFill="1" applyBorder="1" applyAlignment="1">
      <alignment horizontal="center" vertical="center" wrapText="1"/>
    </xf>
    <xf numFmtId="3" fontId="8" fillId="3" borderId="5" xfId="2" applyNumberFormat="1" applyFont="1" applyFill="1" applyBorder="1" applyAlignment="1">
      <alignment horizontal="center" vertical="center" wrapText="1"/>
    </xf>
    <xf numFmtId="3" fontId="8" fillId="3" borderId="19" xfId="2" applyNumberFormat="1" applyFont="1" applyFill="1" applyBorder="1" applyAlignment="1">
      <alignment horizontal="center" vertical="center" wrapText="1"/>
    </xf>
    <xf numFmtId="0" fontId="21" fillId="0" borderId="14" xfId="8" applyFont="1" applyBorder="1" applyAlignment="1">
      <alignment horizontal="center" vertical="center"/>
    </xf>
    <xf numFmtId="0" fontId="21" fillId="0" borderId="2" xfId="8" applyFont="1" applyBorder="1" applyAlignment="1">
      <alignment horizontal="center" vertical="center"/>
    </xf>
    <xf numFmtId="0" fontId="21" fillId="0" borderId="11" xfId="8" applyFont="1" applyBorder="1" applyAlignment="1">
      <alignment horizontal="center" vertical="center"/>
    </xf>
    <xf numFmtId="0" fontId="21" fillId="0" borderId="55" xfId="8" applyFont="1" applyBorder="1" applyAlignment="1">
      <alignment horizontal="center" vertical="center"/>
    </xf>
    <xf numFmtId="0" fontId="21" fillId="0" borderId="32" xfId="8" applyFont="1" applyBorder="1" applyAlignment="1">
      <alignment horizontal="center" vertical="center"/>
    </xf>
    <xf numFmtId="0" fontId="21" fillId="0" borderId="21" xfId="8" applyFont="1" applyBorder="1" applyAlignment="1">
      <alignment horizontal="center" vertical="center"/>
    </xf>
    <xf numFmtId="165" fontId="21" fillId="0" borderId="55" xfId="8" applyNumberFormat="1" applyFont="1" applyBorder="1" applyAlignment="1">
      <alignment horizontal="center" vertical="center"/>
    </xf>
    <xf numFmtId="165" fontId="21" fillId="0" borderId="32" xfId="8" applyNumberFormat="1" applyFont="1" applyBorder="1" applyAlignment="1">
      <alignment horizontal="center" vertical="center"/>
    </xf>
    <xf numFmtId="165" fontId="21" fillId="0" borderId="21" xfId="8" applyNumberFormat="1" applyFont="1" applyBorder="1" applyAlignment="1">
      <alignment horizontal="center" vertical="center"/>
    </xf>
    <xf numFmtId="3" fontId="5" fillId="3" borderId="26" xfId="2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/>
    </xf>
    <xf numFmtId="0" fontId="19" fillId="3" borderId="21" xfId="2" applyFont="1" applyFill="1" applyBorder="1" applyAlignment="1">
      <alignment horizontal="center" vertical="center"/>
    </xf>
    <xf numFmtId="3" fontId="5" fillId="3" borderId="61" xfId="2" applyNumberFormat="1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 shrinkToFit="1"/>
    </xf>
    <xf numFmtId="0" fontId="5" fillId="4" borderId="60" xfId="0" applyFont="1" applyFill="1" applyBorder="1" applyAlignment="1">
      <alignment horizontal="center" vertical="center" shrinkToFit="1"/>
    </xf>
    <xf numFmtId="0" fontId="5" fillId="3" borderId="52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21" fillId="0" borderId="0" xfId="0" applyFont="1"/>
    <xf numFmtId="0" fontId="6" fillId="0" borderId="0" xfId="0" applyFont="1"/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 shrinkToFit="1"/>
    </xf>
    <xf numFmtId="0" fontId="5" fillId="3" borderId="62" xfId="0" applyFont="1" applyFill="1" applyBorder="1" applyAlignment="1">
      <alignment horizontal="center" vertical="center" wrapText="1" shrinkToFit="1"/>
    </xf>
    <xf numFmtId="0" fontId="13" fillId="3" borderId="14" xfId="0" applyFont="1" applyFill="1" applyBorder="1" applyAlignment="1">
      <alignment horizontal="center" textRotation="90"/>
    </xf>
    <xf numFmtId="0" fontId="29" fillId="3" borderId="11" xfId="0" applyFont="1" applyFill="1" applyBorder="1" applyAlignment="1">
      <alignment textRotation="90"/>
    </xf>
    <xf numFmtId="0" fontId="5" fillId="3" borderId="55" xfId="0" applyFont="1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 shrinkToFit="1"/>
    </xf>
    <xf numFmtId="3" fontId="8" fillId="3" borderId="47" xfId="0" applyNumberFormat="1" applyFont="1" applyFill="1" applyBorder="1" applyAlignment="1">
      <alignment horizontal="center" vertical="center" wrapText="1"/>
    </xf>
    <xf numFmtId="3" fontId="8" fillId="3" borderId="43" xfId="0" applyNumberFormat="1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 shrinkToFit="1"/>
    </xf>
    <xf numFmtId="0" fontId="5" fillId="3" borderId="21" xfId="0" applyFont="1" applyFill="1" applyBorder="1" applyAlignment="1">
      <alignment horizontal="center" vertical="center" wrapText="1" shrinkToFit="1"/>
    </xf>
    <xf numFmtId="0" fontId="5" fillId="3" borderId="58" xfId="0" applyFont="1" applyFill="1" applyBorder="1" applyAlignment="1">
      <alignment horizontal="center" vertical="center" wrapText="1" shrinkToFit="1"/>
    </xf>
    <xf numFmtId="0" fontId="5" fillId="3" borderId="60" xfId="0" applyFont="1" applyFill="1" applyBorder="1" applyAlignment="1">
      <alignment horizontal="center" vertical="center" wrapText="1" shrinkToFit="1"/>
    </xf>
    <xf numFmtId="16" fontId="5" fillId="3" borderId="12" xfId="8" applyNumberFormat="1" applyFont="1" applyFill="1" applyBorder="1" applyAlignment="1">
      <alignment horizontal="center" vertical="center"/>
    </xf>
    <xf numFmtId="16" fontId="5" fillId="3" borderId="7" xfId="8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3" borderId="4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16" fontId="5" fillId="3" borderId="33" xfId="8" applyNumberFormat="1" applyFont="1" applyFill="1" applyBorder="1" applyAlignment="1">
      <alignment horizontal="center" vertical="center"/>
    </xf>
    <xf numFmtId="16" fontId="5" fillId="3" borderId="34" xfId="8" applyNumberFormat="1" applyFont="1" applyFill="1" applyBorder="1" applyAlignment="1">
      <alignment horizontal="center" vertical="center"/>
    </xf>
    <xf numFmtId="16" fontId="5" fillId="3" borderId="26" xfId="8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</cellXfs>
  <cellStyles count="9">
    <cellStyle name="Normál" xfId="0" builtinId="0"/>
    <cellStyle name="Normál 2" xfId="1" xr:uid="{00000000-0005-0000-0000-000001000000}"/>
    <cellStyle name="Normál 2 2" xfId="2" xr:uid="{00000000-0005-0000-0000-000002000000}"/>
    <cellStyle name="Normál 2 3" xfId="3" xr:uid="{00000000-0005-0000-0000-000003000000}"/>
    <cellStyle name="Normál 2 3 2" xfId="4" xr:uid="{00000000-0005-0000-0000-000004000000}"/>
    <cellStyle name="Normál 2 3_-1" xfId="5" xr:uid="{00000000-0005-0000-0000-000005000000}"/>
    <cellStyle name="Normál 3" xfId="6" xr:uid="{00000000-0005-0000-0000-000006000000}"/>
    <cellStyle name="Normál 3 2" xfId="7" xr:uid="{00000000-0005-0000-0000-000007000000}"/>
    <cellStyle name="Normál_09eloi" xfId="8" xr:uid="{F6FF438E-FA3C-4E03-8391-6EFC968BCE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1\16_SZEPTEMBER_10\El&#337;terjeszt&#233;sek\06_2021.%20&#233;vi%20k&#246;lts&#233;gvet&#233;s%20m&#243;dos&#237;t&#225;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</sheetNames>
    <sheetDataSet>
      <sheetData sheetId="0"/>
      <sheetData sheetId="1">
        <row r="16">
          <cell r="G16">
            <v>0</v>
          </cell>
        </row>
        <row r="17">
          <cell r="G17">
            <v>0</v>
          </cell>
        </row>
        <row r="19">
          <cell r="G19">
            <v>0</v>
          </cell>
        </row>
        <row r="20">
          <cell r="G20">
            <v>0</v>
          </cell>
        </row>
        <row r="24">
          <cell r="G24">
            <v>0</v>
          </cell>
        </row>
        <row r="25">
          <cell r="G25">
            <v>0</v>
          </cell>
        </row>
        <row r="28">
          <cell r="G28">
            <v>0</v>
          </cell>
        </row>
        <row r="29">
          <cell r="G29">
            <v>0</v>
          </cell>
        </row>
      </sheetData>
      <sheetData sheetId="2">
        <row r="16">
          <cell r="G16">
            <v>0</v>
          </cell>
        </row>
        <row r="17">
          <cell r="G17">
            <v>0</v>
          </cell>
        </row>
        <row r="19">
          <cell r="G19">
            <v>0</v>
          </cell>
        </row>
        <row r="20">
          <cell r="G20">
            <v>0</v>
          </cell>
        </row>
        <row r="24">
          <cell r="G24">
            <v>0</v>
          </cell>
        </row>
        <row r="25">
          <cell r="G25">
            <v>0</v>
          </cell>
        </row>
        <row r="28">
          <cell r="G28">
            <v>0</v>
          </cell>
        </row>
        <row r="29">
          <cell r="G29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0480-9577-4673-B64F-00D4ADEF02C1}">
  <sheetPr>
    <tabColor theme="8" tint="0.59999389629810485"/>
  </sheetPr>
  <dimension ref="A1:T74"/>
  <sheetViews>
    <sheetView tabSelected="1" zoomScaleNormal="100" workbookViewId="0">
      <pane ySplit="11" topLeftCell="A12" activePane="bottomLeft" state="frozen"/>
      <selection pane="bottomLeft" activeCell="A8" sqref="A8:P8"/>
    </sheetView>
  </sheetViews>
  <sheetFormatPr defaultColWidth="9.140625" defaultRowHeight="12.75" x14ac:dyDescent="0.2"/>
  <cols>
    <col min="1" max="1" width="5.5703125" style="19" customWidth="1"/>
    <col min="2" max="2" width="4.28515625" style="19" customWidth="1"/>
    <col min="3" max="3" width="3.7109375" style="14" customWidth="1"/>
    <col min="4" max="4" width="45.7109375" style="14" customWidth="1"/>
    <col min="5" max="8" width="14.7109375" style="20" customWidth="1"/>
    <col min="9" max="9" width="6.5703125" style="21" customWidth="1"/>
    <col min="10" max="10" width="4.28515625" style="21" customWidth="1"/>
    <col min="11" max="11" width="3.7109375" style="21" customWidth="1"/>
    <col min="12" max="12" width="45.7109375" style="14" customWidth="1"/>
    <col min="13" max="15" width="14.7109375" style="14" customWidth="1"/>
    <col min="16" max="16" width="14.7109375" style="20" customWidth="1"/>
    <col min="17" max="16384" width="9.140625" style="14"/>
  </cols>
  <sheetData>
    <row r="1" spans="1:20" s="3" customFormat="1" ht="14.2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464" t="s">
        <v>239</v>
      </c>
      <c r="L1" s="464"/>
      <c r="M1" s="464"/>
      <c r="N1" s="464"/>
      <c r="O1" s="464"/>
      <c r="P1" s="464"/>
      <c r="Q1" s="13"/>
      <c r="R1" s="13"/>
      <c r="S1" s="13"/>
      <c r="T1" s="13"/>
    </row>
    <row r="2" spans="1:20" s="3" customFormat="1" ht="14.25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464" t="s">
        <v>100</v>
      </c>
      <c r="L2" s="464"/>
      <c r="M2" s="464"/>
      <c r="N2" s="464"/>
      <c r="O2" s="464"/>
      <c r="P2" s="464"/>
      <c r="Q2" s="13"/>
      <c r="R2" s="13"/>
      <c r="S2" s="13"/>
      <c r="T2" s="13"/>
    </row>
    <row r="3" spans="1:20" s="3" customFormat="1" ht="14.25" x14ac:dyDescent="0.2">
      <c r="A3" s="16"/>
      <c r="B3" s="16"/>
      <c r="E3" s="4"/>
      <c r="F3" s="4"/>
      <c r="G3" s="4"/>
      <c r="H3" s="8"/>
      <c r="I3" s="8"/>
      <c r="J3" s="8"/>
      <c r="K3" s="15"/>
      <c r="L3" s="15"/>
      <c r="M3" s="15"/>
      <c r="N3" s="15"/>
      <c r="O3" s="13"/>
      <c r="P3" s="13"/>
      <c r="Q3" s="13"/>
      <c r="R3" s="13"/>
      <c r="S3" s="13"/>
      <c r="T3" s="13"/>
    </row>
    <row r="4" spans="1:20" s="3" customFormat="1" ht="15.95" customHeight="1" x14ac:dyDescent="0.25">
      <c r="A4" s="455" t="s">
        <v>95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</row>
    <row r="5" spans="1:20" s="3" customFormat="1" ht="15.95" customHeight="1" x14ac:dyDescent="0.25">
      <c r="A5" s="455" t="s">
        <v>89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</row>
    <row r="6" spans="1:20" s="3" customFormat="1" ht="15.95" customHeight="1" x14ac:dyDescent="0.25">
      <c r="A6" s="455" t="s">
        <v>39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</row>
    <row r="7" spans="1:20" s="3" customFormat="1" ht="15.95" customHeight="1" x14ac:dyDescent="0.25">
      <c r="A7" s="455" t="s">
        <v>98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</row>
    <row r="8" spans="1:20" s="3" customFormat="1" ht="15.95" customHeight="1" x14ac:dyDescent="0.25">
      <c r="A8" s="455" t="s">
        <v>238</v>
      </c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</row>
    <row r="9" spans="1:20" ht="15.95" customHeight="1" thickBot="1" x14ac:dyDescent="0.35">
      <c r="D9" s="456"/>
      <c r="E9" s="456"/>
      <c r="F9" s="456"/>
      <c r="G9" s="456"/>
      <c r="H9" s="456"/>
      <c r="I9" s="456"/>
      <c r="J9" s="456"/>
      <c r="K9" s="456"/>
      <c r="L9" s="456"/>
      <c r="M9" s="22"/>
      <c r="N9" s="22"/>
      <c r="O9" s="22"/>
      <c r="P9" s="23" t="s">
        <v>92</v>
      </c>
    </row>
    <row r="10" spans="1:20" s="24" customFormat="1" ht="21.95" customHeight="1" x14ac:dyDescent="0.2">
      <c r="A10" s="457" t="s">
        <v>37</v>
      </c>
      <c r="B10" s="458"/>
      <c r="C10" s="458"/>
      <c r="D10" s="458"/>
      <c r="E10" s="458"/>
      <c r="F10" s="93"/>
      <c r="G10" s="93"/>
      <c r="H10" s="93"/>
      <c r="I10" s="457" t="s">
        <v>38</v>
      </c>
      <c r="J10" s="458"/>
      <c r="K10" s="458"/>
      <c r="L10" s="458"/>
      <c r="M10" s="458"/>
      <c r="N10" s="458"/>
      <c r="O10" s="458"/>
      <c r="P10" s="459"/>
    </row>
    <row r="11" spans="1:20" s="24" customFormat="1" ht="41.25" customHeight="1" thickBot="1" x14ac:dyDescent="0.25">
      <c r="A11" s="94" t="s">
        <v>77</v>
      </c>
      <c r="B11" s="95" t="s">
        <v>78</v>
      </c>
      <c r="C11" s="460"/>
      <c r="D11" s="461"/>
      <c r="E11" s="92" t="s">
        <v>28</v>
      </c>
      <c r="F11" s="101" t="s">
        <v>88</v>
      </c>
      <c r="G11" s="101" t="s">
        <v>87</v>
      </c>
      <c r="H11" s="101" t="s">
        <v>88</v>
      </c>
      <c r="I11" s="94" t="s">
        <v>77</v>
      </c>
      <c r="J11" s="95" t="s">
        <v>78</v>
      </c>
      <c r="K11" s="462"/>
      <c r="L11" s="463"/>
      <c r="M11" s="92" t="s">
        <v>28</v>
      </c>
      <c r="N11" s="101" t="s">
        <v>88</v>
      </c>
      <c r="O11" s="101" t="s">
        <v>87</v>
      </c>
      <c r="P11" s="103" t="s">
        <v>88</v>
      </c>
    </row>
    <row r="12" spans="1:20" s="25" customFormat="1" ht="18" customHeight="1" x14ac:dyDescent="0.2">
      <c r="A12" s="425" t="s">
        <v>36</v>
      </c>
      <c r="B12" s="426"/>
      <c r="C12" s="426"/>
      <c r="D12" s="426"/>
      <c r="E12" s="426"/>
      <c r="F12" s="426"/>
      <c r="G12" s="426"/>
      <c r="H12" s="426"/>
      <c r="I12" s="426"/>
      <c r="J12" s="426"/>
      <c r="K12" s="426"/>
      <c r="L12" s="426"/>
      <c r="M12" s="426"/>
      <c r="N12" s="426"/>
      <c r="O12" s="426"/>
      <c r="P12" s="427"/>
    </row>
    <row r="13" spans="1:20" s="31" customFormat="1" ht="18" customHeight="1" x14ac:dyDescent="0.2">
      <c r="A13" s="26" t="s">
        <v>0</v>
      </c>
      <c r="B13" s="428" t="s">
        <v>35</v>
      </c>
      <c r="C13" s="429"/>
      <c r="D13" s="430"/>
      <c r="E13" s="27">
        <f>E14+E18+E22+E26</f>
        <v>739969598</v>
      </c>
      <c r="F13" s="27">
        <f>F14+F18+F22+F26</f>
        <v>2186232973</v>
      </c>
      <c r="G13" s="27">
        <f>G14+G18+G22+G26</f>
        <v>56704718</v>
      </c>
      <c r="H13" s="27">
        <f>H14+H18+H22+H26</f>
        <v>2242937691</v>
      </c>
      <c r="I13" s="28" t="s">
        <v>0</v>
      </c>
      <c r="J13" s="452" t="s">
        <v>17</v>
      </c>
      <c r="K13" s="453"/>
      <c r="L13" s="454"/>
      <c r="M13" s="29">
        <f>M14+M18+M22+M30+M26</f>
        <v>987470879</v>
      </c>
      <c r="N13" s="29">
        <f>N14+N18+N22+N30+N26</f>
        <v>2600730495</v>
      </c>
      <c r="O13" s="29">
        <f>O14+O18+O22+O30+O26</f>
        <v>65067506</v>
      </c>
      <c r="P13" s="30">
        <f>P14+P18+P22+P30+P26</f>
        <v>2665798001</v>
      </c>
    </row>
    <row r="14" spans="1:20" s="25" customFormat="1" ht="18" customHeight="1" x14ac:dyDescent="0.2">
      <c r="A14" s="32"/>
      <c r="B14" s="414" t="s">
        <v>50</v>
      </c>
      <c r="C14" s="434" t="s">
        <v>42</v>
      </c>
      <c r="D14" s="435"/>
      <c r="E14" s="27">
        <f>E15+E16+E17</f>
        <v>613685856</v>
      </c>
      <c r="F14" s="27">
        <f>F15+F16+F17</f>
        <v>2053451531</v>
      </c>
      <c r="G14" s="27">
        <f>G15+G16+G17</f>
        <v>43252346</v>
      </c>
      <c r="H14" s="27">
        <f>SUM(H15:H17)</f>
        <v>2096703877</v>
      </c>
      <c r="I14" s="33"/>
      <c r="J14" s="419" t="s">
        <v>45</v>
      </c>
      <c r="K14" s="436" t="s">
        <v>13</v>
      </c>
      <c r="L14" s="436"/>
      <c r="M14" s="27">
        <f>M15+M16+M17</f>
        <v>399212077</v>
      </c>
      <c r="N14" s="27">
        <f>N15+N16+N17</f>
        <v>629668587</v>
      </c>
      <c r="O14" s="27">
        <f>O15+O16+O17</f>
        <v>14086833</v>
      </c>
      <c r="P14" s="34">
        <f>SUM(P15:P17)</f>
        <v>643755420</v>
      </c>
    </row>
    <row r="15" spans="1:20" s="25" customFormat="1" ht="18" customHeight="1" x14ac:dyDescent="0.2">
      <c r="A15" s="32"/>
      <c r="B15" s="415"/>
      <c r="C15" s="35" t="s">
        <v>1</v>
      </c>
      <c r="D15" s="36" t="s">
        <v>7</v>
      </c>
      <c r="E15" s="37">
        <f>'2.'!E15+'3.'!E15</f>
        <v>613685856</v>
      </c>
      <c r="F15" s="37">
        <f>'2.'!F15+'3.'!F15</f>
        <v>2053451531</v>
      </c>
      <c r="G15" s="37">
        <f>'2.'!G15+'3.'!G15</f>
        <v>43252346</v>
      </c>
      <c r="H15" s="38">
        <f>F15+G15</f>
        <v>2096703877</v>
      </c>
      <c r="I15" s="33"/>
      <c r="J15" s="420"/>
      <c r="K15" s="35" t="s">
        <v>1</v>
      </c>
      <c r="L15" s="36" t="s">
        <v>7</v>
      </c>
      <c r="M15" s="37">
        <f>'2.'!M15+'3.'!M15</f>
        <v>399112077</v>
      </c>
      <c r="N15" s="37">
        <f>'2.'!N15+'3.'!N15</f>
        <v>625037579</v>
      </c>
      <c r="O15" s="37">
        <f>'2.'!O15+'3.'!O15</f>
        <v>14086833</v>
      </c>
      <c r="P15" s="38">
        <f>+O15+N15</f>
        <v>639124412</v>
      </c>
    </row>
    <row r="16" spans="1:20" s="25" customFormat="1" ht="18" customHeight="1" x14ac:dyDescent="0.2">
      <c r="A16" s="32"/>
      <c r="B16" s="415"/>
      <c r="C16" s="35" t="s">
        <v>2</v>
      </c>
      <c r="D16" s="36" t="s">
        <v>9</v>
      </c>
      <c r="E16" s="37">
        <f>'2.'!E16+'3.'!E16</f>
        <v>0</v>
      </c>
      <c r="F16" s="37">
        <f>'2.'!F16+'3.'!F16</f>
        <v>0</v>
      </c>
      <c r="G16" s="37">
        <f>'[1]2.'!G16+'[1]3.'!G16</f>
        <v>0</v>
      </c>
      <c r="H16" s="38">
        <f>F16+G16</f>
        <v>0</v>
      </c>
      <c r="I16" s="33"/>
      <c r="J16" s="420"/>
      <c r="K16" s="35" t="s">
        <v>2</v>
      </c>
      <c r="L16" s="36" t="s">
        <v>9</v>
      </c>
      <c r="M16" s="37">
        <f>'2.'!M16+'3.'!M16</f>
        <v>100000</v>
      </c>
      <c r="N16" s="37">
        <f>'2.'!N16+'3.'!N16</f>
        <v>4631008</v>
      </c>
      <c r="O16" s="37">
        <f>'2.'!O16+'3.'!O16</f>
        <v>0</v>
      </c>
      <c r="P16" s="38">
        <f t="shared" ref="P16:P39" si="0">+O16+N16</f>
        <v>4631008</v>
      </c>
    </row>
    <row r="17" spans="1:19" s="25" customFormat="1" ht="18" customHeight="1" x14ac:dyDescent="0.2">
      <c r="A17" s="32"/>
      <c r="B17" s="416"/>
      <c r="C17" s="35" t="s">
        <v>4</v>
      </c>
      <c r="D17" s="36" t="s">
        <v>8</v>
      </c>
      <c r="E17" s="37">
        <f>'2.'!E17+'3.'!E17</f>
        <v>0</v>
      </c>
      <c r="F17" s="37">
        <f>'2.'!F17+'3.'!F17</f>
        <v>0</v>
      </c>
      <c r="G17" s="37">
        <f>'[1]2.'!G17+'[1]3.'!G17</f>
        <v>0</v>
      </c>
      <c r="H17" s="38">
        <f>F17+G17</f>
        <v>0</v>
      </c>
      <c r="I17" s="33"/>
      <c r="J17" s="421"/>
      <c r="K17" s="35" t="s">
        <v>4</v>
      </c>
      <c r="L17" s="36" t="s">
        <v>8</v>
      </c>
      <c r="M17" s="37">
        <f>'2.'!M17+'3.'!M17</f>
        <v>0</v>
      </c>
      <c r="N17" s="37">
        <f>'2.'!N17+'3.'!N17</f>
        <v>0</v>
      </c>
      <c r="O17" s="37">
        <f>'2.'!O17+'3.'!O17</f>
        <v>0</v>
      </c>
      <c r="P17" s="38">
        <f t="shared" si="0"/>
        <v>0</v>
      </c>
    </row>
    <row r="18" spans="1:19" s="25" customFormat="1" ht="18" customHeight="1" x14ac:dyDescent="0.2">
      <c r="A18" s="32"/>
      <c r="B18" s="414" t="s">
        <v>63</v>
      </c>
      <c r="C18" s="417" t="s">
        <v>5</v>
      </c>
      <c r="D18" s="418"/>
      <c r="E18" s="27">
        <f>E19+E20+E21</f>
        <v>0</v>
      </c>
      <c r="F18" s="39">
        <f>SUM(F19:F21)</f>
        <v>175000</v>
      </c>
      <c r="G18" s="27">
        <f>G19+G20+G21</f>
        <v>90000</v>
      </c>
      <c r="H18" s="40">
        <f>SUM(H19:H21)</f>
        <v>265000</v>
      </c>
      <c r="I18" s="33"/>
      <c r="J18" s="419" t="s">
        <v>46</v>
      </c>
      <c r="K18" s="424" t="s">
        <v>16</v>
      </c>
      <c r="L18" s="424"/>
      <c r="M18" s="27">
        <f>M19+M20+M21</f>
        <v>61191465</v>
      </c>
      <c r="N18" s="27">
        <f>N19+N20+N21</f>
        <v>87421240</v>
      </c>
      <c r="O18" s="27">
        <f>O19+O20+O21</f>
        <v>1572531</v>
      </c>
      <c r="P18" s="40">
        <f>SUM(P19:P21)</f>
        <v>88993771</v>
      </c>
    </row>
    <row r="19" spans="1:19" s="25" customFormat="1" ht="18" customHeight="1" x14ac:dyDescent="0.2">
      <c r="A19" s="32"/>
      <c r="B19" s="415"/>
      <c r="C19" s="35" t="s">
        <v>1</v>
      </c>
      <c r="D19" s="36" t="s">
        <v>7</v>
      </c>
      <c r="E19" s="37">
        <f>'2.'!E19+'3.'!E19</f>
        <v>0</v>
      </c>
      <c r="F19" s="37">
        <f>'2.'!F19+'3.'!F19</f>
        <v>0</v>
      </c>
      <c r="G19" s="37">
        <f>'[1]2.'!G19+'[1]3.'!G19</f>
        <v>0</v>
      </c>
      <c r="H19" s="38">
        <f t="shared" ref="H19:H29" si="1">F19+G19</f>
        <v>0</v>
      </c>
      <c r="I19" s="33"/>
      <c r="J19" s="420"/>
      <c r="K19" s="35" t="s">
        <v>1</v>
      </c>
      <c r="L19" s="36" t="s">
        <v>7</v>
      </c>
      <c r="M19" s="37">
        <f>'2.'!M19+'3.'!M19</f>
        <v>61178465</v>
      </c>
      <c r="N19" s="37">
        <f>'2.'!N19+'3.'!N19</f>
        <v>85798645</v>
      </c>
      <c r="O19" s="37">
        <f>'2.'!O19+'3.'!O19</f>
        <v>1572531</v>
      </c>
      <c r="P19" s="38">
        <f t="shared" si="0"/>
        <v>87371176</v>
      </c>
    </row>
    <row r="20" spans="1:19" s="25" customFormat="1" ht="18" customHeight="1" x14ac:dyDescent="0.2">
      <c r="A20" s="32"/>
      <c r="B20" s="415"/>
      <c r="C20" s="35" t="s">
        <v>2</v>
      </c>
      <c r="D20" s="36" t="s">
        <v>9</v>
      </c>
      <c r="E20" s="37">
        <f>'2.'!E20+'3.'!E20</f>
        <v>0</v>
      </c>
      <c r="F20" s="37">
        <f>'2.'!F20+'3.'!F20</f>
        <v>0</v>
      </c>
      <c r="G20" s="37">
        <f>'[1]2.'!G20+'[1]3.'!G20</f>
        <v>0</v>
      </c>
      <c r="H20" s="38">
        <f t="shared" si="1"/>
        <v>0</v>
      </c>
      <c r="I20" s="33"/>
      <c r="J20" s="420"/>
      <c r="K20" s="35" t="s">
        <v>2</v>
      </c>
      <c r="L20" s="36" t="s">
        <v>9</v>
      </c>
      <c r="M20" s="37">
        <f>'2.'!M20+'3.'!M20</f>
        <v>13000</v>
      </c>
      <c r="N20" s="37">
        <f>'2.'!N20+'3.'!N20</f>
        <v>1622595</v>
      </c>
      <c r="O20" s="37">
        <f>'2.'!O20+'3.'!O20</f>
        <v>0</v>
      </c>
      <c r="P20" s="38">
        <f t="shared" si="0"/>
        <v>1622595</v>
      </c>
    </row>
    <row r="21" spans="1:19" s="25" customFormat="1" ht="18" customHeight="1" x14ac:dyDescent="0.2">
      <c r="A21" s="32"/>
      <c r="B21" s="416"/>
      <c r="C21" s="35" t="s">
        <v>4</v>
      </c>
      <c r="D21" s="36" t="s">
        <v>8</v>
      </c>
      <c r="E21" s="37">
        <f>'2.'!E21+'3.'!E21</f>
        <v>0</v>
      </c>
      <c r="F21" s="37">
        <f>'2.'!F21+'3.'!F21</f>
        <v>175000</v>
      </c>
      <c r="G21" s="37">
        <f>'2.'!G21+'3.'!G21</f>
        <v>90000</v>
      </c>
      <c r="H21" s="38">
        <f t="shared" si="1"/>
        <v>265000</v>
      </c>
      <c r="I21" s="33"/>
      <c r="J21" s="421"/>
      <c r="K21" s="35" t="s">
        <v>4</v>
      </c>
      <c r="L21" s="36" t="s">
        <v>8</v>
      </c>
      <c r="M21" s="37">
        <f>'2.'!M21+'3.'!M21</f>
        <v>0</v>
      </c>
      <c r="N21" s="37">
        <f>'2.'!N21+'3.'!N21</f>
        <v>0</v>
      </c>
      <c r="O21" s="37">
        <f>'2.'!O21+'3.'!O21</f>
        <v>0</v>
      </c>
      <c r="P21" s="38">
        <f t="shared" si="0"/>
        <v>0</v>
      </c>
    </row>
    <row r="22" spans="1:19" s="25" customFormat="1" ht="18" customHeight="1" x14ac:dyDescent="0.2">
      <c r="A22" s="32"/>
      <c r="B22" s="414" t="s">
        <v>64</v>
      </c>
      <c r="C22" s="417" t="s">
        <v>27</v>
      </c>
      <c r="D22" s="418"/>
      <c r="E22" s="27">
        <f>E23+E24+E25</f>
        <v>840000</v>
      </c>
      <c r="F22" s="27">
        <f>F23+F24+F25</f>
        <v>5222043</v>
      </c>
      <c r="G22" s="27">
        <f>G23+G24+G25</f>
        <v>7556793</v>
      </c>
      <c r="H22" s="40">
        <f>SUM(H23:H25)</f>
        <v>12778836</v>
      </c>
      <c r="I22" s="33"/>
      <c r="J22" s="419" t="s">
        <v>47</v>
      </c>
      <c r="K22" s="424" t="s">
        <v>26</v>
      </c>
      <c r="L22" s="424"/>
      <c r="M22" s="27">
        <f>M23+M24+M25</f>
        <v>484325317</v>
      </c>
      <c r="N22" s="27">
        <f>N23+N24+N25</f>
        <v>804622106</v>
      </c>
      <c r="O22" s="27">
        <f>O23+O24+O25</f>
        <v>4816519</v>
      </c>
      <c r="P22" s="40">
        <f>SUM(P23:P25)</f>
        <v>809438625</v>
      </c>
    </row>
    <row r="23" spans="1:19" s="25" customFormat="1" ht="18" customHeight="1" x14ac:dyDescent="0.2">
      <c r="A23" s="32"/>
      <c r="B23" s="415"/>
      <c r="C23" s="35" t="s">
        <v>1</v>
      </c>
      <c r="D23" s="36" t="s">
        <v>7</v>
      </c>
      <c r="E23" s="37">
        <f>'2.'!E23+'3.'!E23</f>
        <v>840000</v>
      </c>
      <c r="F23" s="37">
        <f>'2.'!F23+'3.'!F23</f>
        <v>5222043</v>
      </c>
      <c r="G23" s="37">
        <f>'2.'!G23+'3.'!G23</f>
        <v>7556793</v>
      </c>
      <c r="H23" s="38">
        <f t="shared" si="1"/>
        <v>12778836</v>
      </c>
      <c r="I23" s="33"/>
      <c r="J23" s="420"/>
      <c r="K23" s="35" t="s">
        <v>1</v>
      </c>
      <c r="L23" s="36" t="s">
        <v>7</v>
      </c>
      <c r="M23" s="37">
        <f>'2.'!M23+'3.'!M23</f>
        <v>483170817</v>
      </c>
      <c r="N23" s="37">
        <f>'2.'!N23+'3.'!N23</f>
        <v>801962974</v>
      </c>
      <c r="O23" s="37">
        <f>'2.'!O23+'3.'!O23</f>
        <v>4816519</v>
      </c>
      <c r="P23" s="38">
        <f t="shared" si="0"/>
        <v>806779493</v>
      </c>
    </row>
    <row r="24" spans="1:19" s="25" customFormat="1" ht="18" customHeight="1" x14ac:dyDescent="0.2">
      <c r="A24" s="32"/>
      <c r="B24" s="415"/>
      <c r="C24" s="35" t="s">
        <v>2</v>
      </c>
      <c r="D24" s="36" t="s">
        <v>9</v>
      </c>
      <c r="E24" s="37">
        <f>'2.'!E24+'3.'!E24</f>
        <v>0</v>
      </c>
      <c r="F24" s="37">
        <f>'2.'!F24+'3.'!F24</f>
        <v>0</v>
      </c>
      <c r="G24" s="37">
        <f>'[1]2.'!G24+'[1]3.'!G24</f>
        <v>0</v>
      </c>
      <c r="H24" s="38">
        <f t="shared" si="1"/>
        <v>0</v>
      </c>
      <c r="I24" s="33"/>
      <c r="J24" s="420"/>
      <c r="K24" s="35" t="s">
        <v>2</v>
      </c>
      <c r="L24" s="36" t="s">
        <v>9</v>
      </c>
      <c r="M24" s="37">
        <f>'2.'!M24+'3.'!M24</f>
        <v>1154500</v>
      </c>
      <c r="N24" s="37">
        <f>'2.'!N24+'3.'!N24</f>
        <v>2659132</v>
      </c>
      <c r="O24" s="37">
        <f>'2.'!O24+'3.'!O24</f>
        <v>0</v>
      </c>
      <c r="P24" s="38">
        <f t="shared" si="0"/>
        <v>2659132</v>
      </c>
    </row>
    <row r="25" spans="1:19" s="25" customFormat="1" ht="18" customHeight="1" x14ac:dyDescent="0.2">
      <c r="A25" s="32"/>
      <c r="B25" s="416"/>
      <c r="C25" s="35" t="s">
        <v>4</v>
      </c>
      <c r="D25" s="36" t="s">
        <v>8</v>
      </c>
      <c r="E25" s="37">
        <f>'2.'!E25+'3.'!E25</f>
        <v>0</v>
      </c>
      <c r="F25" s="37">
        <f>'2.'!F25+'3.'!F25</f>
        <v>0</v>
      </c>
      <c r="G25" s="37">
        <f>'[1]2.'!G25+'[1]3.'!G25</f>
        <v>0</v>
      </c>
      <c r="H25" s="38">
        <f t="shared" si="1"/>
        <v>0</v>
      </c>
      <c r="I25" s="33"/>
      <c r="J25" s="421"/>
      <c r="K25" s="35" t="s">
        <v>4</v>
      </c>
      <c r="L25" s="36" t="s">
        <v>8</v>
      </c>
      <c r="M25" s="37">
        <f>'2.'!M25+'3.'!M25</f>
        <v>0</v>
      </c>
      <c r="N25" s="37">
        <f>'2.'!N25+'3.'!N25</f>
        <v>0</v>
      </c>
      <c r="O25" s="37">
        <f>'2.'!O25+'3.'!O25</f>
        <v>0</v>
      </c>
      <c r="P25" s="38">
        <f t="shared" si="0"/>
        <v>0</v>
      </c>
    </row>
    <row r="26" spans="1:19" s="25" customFormat="1" ht="18" customHeight="1" x14ac:dyDescent="0.2">
      <c r="A26" s="32"/>
      <c r="B26" s="414" t="s">
        <v>66</v>
      </c>
      <c r="C26" s="422" t="s">
        <v>41</v>
      </c>
      <c r="D26" s="423"/>
      <c r="E26" s="27">
        <f>E27+E28+E29</f>
        <v>125443742</v>
      </c>
      <c r="F26" s="27">
        <f>F27+F28+F29</f>
        <v>127384399</v>
      </c>
      <c r="G26" s="27">
        <f>G27+G28+G29</f>
        <v>5805579</v>
      </c>
      <c r="H26" s="40">
        <f>SUM(H27:H29)</f>
        <v>133189978</v>
      </c>
      <c r="I26" s="33"/>
      <c r="J26" s="419" t="s">
        <v>48</v>
      </c>
      <c r="K26" s="436" t="s">
        <v>6</v>
      </c>
      <c r="L26" s="436"/>
      <c r="M26" s="27">
        <f>M27+M28+M29</f>
        <v>0</v>
      </c>
      <c r="N26" s="27">
        <f>N27+N28+N29</f>
        <v>0</v>
      </c>
      <c r="O26" s="27">
        <f>O27+O28+O29</f>
        <v>0</v>
      </c>
      <c r="P26" s="41">
        <f>SUM(P27:P29)</f>
        <v>0</v>
      </c>
    </row>
    <row r="27" spans="1:19" s="25" customFormat="1" ht="18" customHeight="1" x14ac:dyDescent="0.2">
      <c r="A27" s="32"/>
      <c r="B27" s="415"/>
      <c r="C27" s="35" t="s">
        <v>1</v>
      </c>
      <c r="D27" s="36" t="s">
        <v>7</v>
      </c>
      <c r="E27" s="37">
        <f>'2.'!E27+'3.'!E27</f>
        <v>125443742</v>
      </c>
      <c r="F27" s="37">
        <f>'2.'!F27+'3.'!F27</f>
        <v>127384399</v>
      </c>
      <c r="G27" s="37">
        <f>'2.'!G27+'3.'!G27</f>
        <v>5805579</v>
      </c>
      <c r="H27" s="38">
        <f t="shared" si="1"/>
        <v>133189978</v>
      </c>
      <c r="I27" s="33"/>
      <c r="J27" s="420"/>
      <c r="K27" s="35" t="s">
        <v>1</v>
      </c>
      <c r="L27" s="36" t="s">
        <v>7</v>
      </c>
      <c r="M27" s="37">
        <f>'2.'!M27+'3.'!M27</f>
        <v>0</v>
      </c>
      <c r="N27" s="37">
        <f>'2.'!N27+'3.'!N27</f>
        <v>0</v>
      </c>
      <c r="O27" s="37">
        <f>'2.'!O27+'3.'!O27</f>
        <v>0</v>
      </c>
      <c r="P27" s="38">
        <f t="shared" si="0"/>
        <v>0</v>
      </c>
    </row>
    <row r="28" spans="1:19" s="25" customFormat="1" ht="18" customHeight="1" x14ac:dyDescent="0.2">
      <c r="A28" s="32"/>
      <c r="B28" s="415"/>
      <c r="C28" s="35" t="s">
        <v>2</v>
      </c>
      <c r="D28" s="36" t="s">
        <v>9</v>
      </c>
      <c r="E28" s="37">
        <f>'2.'!E28+'3.'!E28</f>
        <v>0</v>
      </c>
      <c r="F28" s="37">
        <f>'2.'!F28+'3.'!F28</f>
        <v>0</v>
      </c>
      <c r="G28" s="37">
        <f>'[1]2.'!G28+'[1]3.'!G28</f>
        <v>0</v>
      </c>
      <c r="H28" s="38">
        <f t="shared" si="1"/>
        <v>0</v>
      </c>
      <c r="I28" s="33"/>
      <c r="J28" s="420"/>
      <c r="K28" s="35" t="s">
        <v>2</v>
      </c>
      <c r="L28" s="36" t="s">
        <v>9</v>
      </c>
      <c r="M28" s="37">
        <f>'2.'!M28+'3.'!M28</f>
        <v>0</v>
      </c>
      <c r="N28" s="37">
        <f>'2.'!N28+'3.'!N28</f>
        <v>0</v>
      </c>
      <c r="O28" s="37">
        <f>'2.'!O28+'3.'!O28</f>
        <v>0</v>
      </c>
      <c r="P28" s="38">
        <f t="shared" si="0"/>
        <v>0</v>
      </c>
    </row>
    <row r="29" spans="1:19" s="25" customFormat="1" ht="18" customHeight="1" x14ac:dyDescent="0.2">
      <c r="A29" s="42"/>
      <c r="B29" s="416"/>
      <c r="C29" s="35" t="s">
        <v>4</v>
      </c>
      <c r="D29" s="36" t="s">
        <v>8</v>
      </c>
      <c r="E29" s="37">
        <f>'2.'!E29+'3.'!E29</f>
        <v>0</v>
      </c>
      <c r="F29" s="37">
        <f>'2.'!F29+'3.'!F29</f>
        <v>0</v>
      </c>
      <c r="G29" s="37">
        <f>'[1]2.'!G29+'[1]3.'!G29</f>
        <v>0</v>
      </c>
      <c r="H29" s="38">
        <f t="shared" si="1"/>
        <v>0</v>
      </c>
      <c r="I29" s="33"/>
      <c r="J29" s="421"/>
      <c r="K29" s="35" t="s">
        <v>4</v>
      </c>
      <c r="L29" s="36" t="s">
        <v>8</v>
      </c>
      <c r="M29" s="37">
        <f>'2.'!M29+'3.'!M29</f>
        <v>0</v>
      </c>
      <c r="N29" s="37">
        <f>'2.'!N29+'3.'!N29</f>
        <v>0</v>
      </c>
      <c r="O29" s="37">
        <f>'2.'!O29+'3.'!O29</f>
        <v>0</v>
      </c>
      <c r="P29" s="38">
        <f t="shared" si="0"/>
        <v>0</v>
      </c>
    </row>
    <row r="30" spans="1:19" s="25" customFormat="1" ht="18" customHeight="1" x14ac:dyDescent="0.2">
      <c r="A30" s="437"/>
      <c r="B30" s="438"/>
      <c r="C30" s="438"/>
      <c r="D30" s="438"/>
      <c r="E30" s="438"/>
      <c r="F30" s="438"/>
      <c r="G30" s="438"/>
      <c r="H30" s="439"/>
      <c r="I30" s="33"/>
      <c r="J30" s="419" t="s">
        <v>49</v>
      </c>
      <c r="K30" s="424" t="s">
        <v>10</v>
      </c>
      <c r="L30" s="424"/>
      <c r="M30" s="27">
        <f>M31+M34+M35</f>
        <v>42742020</v>
      </c>
      <c r="N30" s="27">
        <f>N31+N34+N35</f>
        <v>1079018562</v>
      </c>
      <c r="O30" s="27">
        <f>O31+O34+O35</f>
        <v>44591623</v>
      </c>
      <c r="P30" s="40">
        <f>P31+P34+P35</f>
        <v>1123610185</v>
      </c>
      <c r="S30" s="45"/>
    </row>
    <row r="31" spans="1:19" s="25" customFormat="1" ht="18" customHeight="1" x14ac:dyDescent="0.2">
      <c r="A31" s="440"/>
      <c r="B31" s="441"/>
      <c r="C31" s="441"/>
      <c r="D31" s="441"/>
      <c r="E31" s="441"/>
      <c r="F31" s="441"/>
      <c r="G31" s="441"/>
      <c r="H31" s="442"/>
      <c r="I31" s="33"/>
      <c r="J31" s="420"/>
      <c r="K31" s="35" t="s">
        <v>1</v>
      </c>
      <c r="L31" s="36" t="s">
        <v>7</v>
      </c>
      <c r="M31" s="37">
        <f>'2.'!M31+'3.'!M31</f>
        <v>38742020</v>
      </c>
      <c r="N31" s="37">
        <f>'2.'!N31+'3.'!N31</f>
        <v>1072878562</v>
      </c>
      <c r="O31" s="37">
        <f>'2.'!O31+'3.'!O31</f>
        <v>44591623</v>
      </c>
      <c r="P31" s="38">
        <f t="shared" si="0"/>
        <v>1117470185</v>
      </c>
      <c r="R31" s="45"/>
    </row>
    <row r="32" spans="1:19" s="25" customFormat="1" ht="18" customHeight="1" x14ac:dyDescent="0.2">
      <c r="A32" s="440"/>
      <c r="B32" s="441"/>
      <c r="C32" s="441"/>
      <c r="D32" s="441"/>
      <c r="E32" s="441"/>
      <c r="F32" s="441"/>
      <c r="G32" s="441"/>
      <c r="H32" s="442"/>
      <c r="I32" s="33"/>
      <c r="J32" s="420"/>
      <c r="K32" s="43" t="s">
        <v>79</v>
      </c>
      <c r="L32" s="44" t="s">
        <v>81</v>
      </c>
      <c r="M32" s="37">
        <f>'2.'!M32+'3.'!M32</f>
        <v>5000000</v>
      </c>
      <c r="N32" s="37">
        <f>'2.'!N32+'3.'!N32</f>
        <v>23459323</v>
      </c>
      <c r="O32" s="37">
        <f>'2.'!O32+'3.'!O32</f>
        <v>14122098</v>
      </c>
      <c r="P32" s="38">
        <f t="shared" si="0"/>
        <v>37581421</v>
      </c>
      <c r="Q32" s="45"/>
      <c r="R32" s="45"/>
    </row>
    <row r="33" spans="1:16" s="25" customFormat="1" ht="18" customHeight="1" x14ac:dyDescent="0.2">
      <c r="A33" s="440"/>
      <c r="B33" s="441"/>
      <c r="C33" s="441"/>
      <c r="D33" s="441"/>
      <c r="E33" s="441"/>
      <c r="F33" s="441"/>
      <c r="G33" s="441"/>
      <c r="H33" s="442"/>
      <c r="I33" s="33"/>
      <c r="J33" s="420"/>
      <c r="K33" s="43" t="s">
        <v>80</v>
      </c>
      <c r="L33" s="44" t="s">
        <v>82</v>
      </c>
      <c r="M33" s="37">
        <f>'2.'!M33+'3.'!M33</f>
        <v>0</v>
      </c>
      <c r="N33" s="37">
        <f>'2.'!N33+'3.'!N33</f>
        <v>1015673316</v>
      </c>
      <c r="O33" s="37">
        <f>'2.'!O33+'3.'!O33</f>
        <v>28282459</v>
      </c>
      <c r="P33" s="38">
        <f t="shared" si="0"/>
        <v>1043955775</v>
      </c>
    </row>
    <row r="34" spans="1:16" s="25" customFormat="1" ht="18" customHeight="1" x14ac:dyDescent="0.2">
      <c r="A34" s="440"/>
      <c r="B34" s="441"/>
      <c r="C34" s="441"/>
      <c r="D34" s="441"/>
      <c r="E34" s="441"/>
      <c r="F34" s="441"/>
      <c r="G34" s="441"/>
      <c r="H34" s="442"/>
      <c r="I34" s="33"/>
      <c r="J34" s="420"/>
      <c r="K34" s="35" t="s">
        <v>2</v>
      </c>
      <c r="L34" s="36" t="s">
        <v>9</v>
      </c>
      <c r="M34" s="37">
        <f>'2.'!M34+'3.'!M34</f>
        <v>4000000</v>
      </c>
      <c r="N34" s="37">
        <f>'2.'!N34+'3.'!N34</f>
        <v>6140000</v>
      </c>
      <c r="O34" s="37">
        <f>'2.'!O34+'3.'!O34</f>
        <v>0</v>
      </c>
      <c r="P34" s="38">
        <f t="shared" si="0"/>
        <v>6140000</v>
      </c>
    </row>
    <row r="35" spans="1:16" s="25" customFormat="1" ht="18" customHeight="1" x14ac:dyDescent="0.2">
      <c r="A35" s="443"/>
      <c r="B35" s="444"/>
      <c r="C35" s="444"/>
      <c r="D35" s="444"/>
      <c r="E35" s="444"/>
      <c r="F35" s="444"/>
      <c r="G35" s="444"/>
      <c r="H35" s="445"/>
      <c r="I35" s="46"/>
      <c r="J35" s="421"/>
      <c r="K35" s="35" t="s">
        <v>4</v>
      </c>
      <c r="L35" s="36" t="s">
        <v>8</v>
      </c>
      <c r="M35" s="37">
        <f>'2.'!M35+'3.'!M35</f>
        <v>0</v>
      </c>
      <c r="N35" s="37">
        <f>'2.'!N35+'3.'!N35</f>
        <v>0</v>
      </c>
      <c r="O35" s="37">
        <f>'2.'!O35+'3.'!O35</f>
        <v>0</v>
      </c>
      <c r="P35" s="38">
        <f t="shared" si="0"/>
        <v>0</v>
      </c>
    </row>
    <row r="36" spans="1:16" s="25" customFormat="1" ht="18" customHeight="1" x14ac:dyDescent="0.2">
      <c r="A36" s="107" t="s">
        <v>0</v>
      </c>
      <c r="B36" s="405" t="s">
        <v>19</v>
      </c>
      <c r="C36" s="406"/>
      <c r="D36" s="407"/>
      <c r="E36" s="108">
        <f>+E37+E38+E39</f>
        <v>739969598</v>
      </c>
      <c r="F36" s="108">
        <f>+F37+F38+F39</f>
        <v>2186232973</v>
      </c>
      <c r="G36" s="108">
        <f>+G37+G38+G39</f>
        <v>56704718</v>
      </c>
      <c r="H36" s="108">
        <f>+H37+H38+H39</f>
        <v>2242937691</v>
      </c>
      <c r="I36" s="109" t="s">
        <v>0</v>
      </c>
      <c r="J36" s="446" t="s">
        <v>14</v>
      </c>
      <c r="K36" s="447"/>
      <c r="L36" s="447"/>
      <c r="M36" s="110">
        <f>+M37+M38+M39</f>
        <v>987470879</v>
      </c>
      <c r="N36" s="110">
        <f>+N37+N38+N39</f>
        <v>2600730495</v>
      </c>
      <c r="O36" s="110">
        <f>+O37+O38+O39</f>
        <v>65067506</v>
      </c>
      <c r="P36" s="111">
        <f t="shared" si="0"/>
        <v>2665798001</v>
      </c>
    </row>
    <row r="37" spans="1:16" s="25" customFormat="1" ht="18" customHeight="1" x14ac:dyDescent="0.2">
      <c r="A37" s="112"/>
      <c r="B37" s="448" t="s">
        <v>69</v>
      </c>
      <c r="C37" s="113" t="s">
        <v>1</v>
      </c>
      <c r="D37" s="114" t="s">
        <v>7</v>
      </c>
      <c r="E37" s="115">
        <f t="shared" ref="E37:F39" si="2">+E27+E23+E19+E15</f>
        <v>739969598</v>
      </c>
      <c r="F37" s="115">
        <f t="shared" si="2"/>
        <v>2186057973</v>
      </c>
      <c r="G37" s="115">
        <f>+G27+G23+G19+G15</f>
        <v>56614718</v>
      </c>
      <c r="H37" s="115">
        <f t="shared" ref="G37:H39" si="3">+H27+H23+H19+H15</f>
        <v>2242672691</v>
      </c>
      <c r="I37" s="411"/>
      <c r="J37" s="451" t="s">
        <v>68</v>
      </c>
      <c r="K37" s="113" t="s">
        <v>1</v>
      </c>
      <c r="L37" s="114" t="s">
        <v>7</v>
      </c>
      <c r="M37" s="115">
        <f>+M31+M27+M23+M19+M15</f>
        <v>982203379</v>
      </c>
      <c r="N37" s="115">
        <f>+N31+N27+N23+N19+N15</f>
        <v>2585677760</v>
      </c>
      <c r="O37" s="115">
        <f>+O31+O27+O23+O19+O15</f>
        <v>65067506</v>
      </c>
      <c r="P37" s="116">
        <f t="shared" si="0"/>
        <v>2650745266</v>
      </c>
    </row>
    <row r="38" spans="1:16" s="25" customFormat="1" ht="18" customHeight="1" x14ac:dyDescent="0.2">
      <c r="A38" s="112"/>
      <c r="B38" s="449"/>
      <c r="C38" s="113" t="s">
        <v>2</v>
      </c>
      <c r="D38" s="114" t="s">
        <v>9</v>
      </c>
      <c r="E38" s="115">
        <f t="shared" si="2"/>
        <v>0</v>
      </c>
      <c r="F38" s="115">
        <f t="shared" si="2"/>
        <v>0</v>
      </c>
      <c r="G38" s="115">
        <f t="shared" si="3"/>
        <v>0</v>
      </c>
      <c r="H38" s="115">
        <f t="shared" si="3"/>
        <v>0</v>
      </c>
      <c r="I38" s="411"/>
      <c r="J38" s="451"/>
      <c r="K38" s="113" t="s">
        <v>2</v>
      </c>
      <c r="L38" s="114" t="s">
        <v>9</v>
      </c>
      <c r="M38" s="115">
        <f t="shared" ref="M38:O39" si="4">+M34+M28+M24+M20+M16</f>
        <v>5267500</v>
      </c>
      <c r="N38" s="115">
        <f t="shared" si="4"/>
        <v>15052735</v>
      </c>
      <c r="O38" s="115">
        <f t="shared" si="4"/>
        <v>0</v>
      </c>
      <c r="P38" s="116">
        <f t="shared" si="0"/>
        <v>15052735</v>
      </c>
    </row>
    <row r="39" spans="1:16" s="25" customFormat="1" ht="18" customHeight="1" x14ac:dyDescent="0.2">
      <c r="A39" s="117"/>
      <c r="B39" s="450"/>
      <c r="C39" s="113" t="s">
        <v>4</v>
      </c>
      <c r="D39" s="114" t="s">
        <v>8</v>
      </c>
      <c r="E39" s="115">
        <f t="shared" si="2"/>
        <v>0</v>
      </c>
      <c r="F39" s="115">
        <f t="shared" si="2"/>
        <v>175000</v>
      </c>
      <c r="G39" s="115">
        <f t="shared" si="3"/>
        <v>90000</v>
      </c>
      <c r="H39" s="115">
        <f>+H29+H25+H21+H17</f>
        <v>265000</v>
      </c>
      <c r="I39" s="412"/>
      <c r="J39" s="451"/>
      <c r="K39" s="113" t="s">
        <v>4</v>
      </c>
      <c r="L39" s="114" t="s">
        <v>8</v>
      </c>
      <c r="M39" s="115">
        <f t="shared" si="4"/>
        <v>0</v>
      </c>
      <c r="N39" s="115">
        <f t="shared" si="4"/>
        <v>0</v>
      </c>
      <c r="O39" s="115">
        <f t="shared" si="4"/>
        <v>0</v>
      </c>
      <c r="P39" s="116">
        <f t="shared" si="0"/>
        <v>0</v>
      </c>
    </row>
    <row r="40" spans="1:16" s="346" customFormat="1" ht="30.75" customHeight="1" thickBot="1" x14ac:dyDescent="0.25">
      <c r="A40" s="393" t="s">
        <v>83</v>
      </c>
      <c r="B40" s="394"/>
      <c r="C40" s="394"/>
      <c r="D40" s="395"/>
      <c r="E40" s="345">
        <f>+M36-E36</f>
        <v>247501281</v>
      </c>
      <c r="F40" s="345">
        <f>+N36-F36</f>
        <v>414497522</v>
      </c>
      <c r="G40" s="345">
        <f>O36-G36</f>
        <v>8362788</v>
      </c>
      <c r="H40" s="345">
        <f>+P36-H36</f>
        <v>422860310</v>
      </c>
      <c r="I40" s="393" t="s">
        <v>84</v>
      </c>
      <c r="J40" s="394"/>
      <c r="K40" s="394"/>
      <c r="L40" s="395"/>
      <c r="M40" s="90"/>
      <c r="N40" s="90"/>
      <c r="O40" s="345"/>
      <c r="P40" s="97"/>
    </row>
    <row r="41" spans="1:16" s="25" customFormat="1" ht="18" customHeight="1" x14ac:dyDescent="0.2">
      <c r="A41" s="425" t="s">
        <v>40</v>
      </c>
      <c r="B41" s="426"/>
      <c r="C41" s="426"/>
      <c r="D41" s="426"/>
      <c r="E41" s="426"/>
      <c r="F41" s="426"/>
      <c r="G41" s="426"/>
      <c r="H41" s="426"/>
      <c r="I41" s="426"/>
      <c r="J41" s="426"/>
      <c r="K41" s="426"/>
      <c r="L41" s="426"/>
      <c r="M41" s="426"/>
      <c r="N41" s="426"/>
      <c r="O41" s="426"/>
      <c r="P41" s="427"/>
    </row>
    <row r="42" spans="1:16" s="25" customFormat="1" ht="18" customHeight="1" x14ac:dyDescent="0.2">
      <c r="A42" s="26" t="s">
        <v>3</v>
      </c>
      <c r="B42" s="428" t="s">
        <v>20</v>
      </c>
      <c r="C42" s="429"/>
      <c r="D42" s="430"/>
      <c r="E42" s="27">
        <f>E43+E47+E51</f>
        <v>1896800</v>
      </c>
      <c r="F42" s="27">
        <f>F43+F47+F51</f>
        <v>54010249</v>
      </c>
      <c r="G42" s="27">
        <f>G43+G47+G51</f>
        <v>7360039</v>
      </c>
      <c r="H42" s="27">
        <f>H43+H47+H51</f>
        <v>61370288</v>
      </c>
      <c r="I42" s="47" t="s">
        <v>3</v>
      </c>
      <c r="J42" s="431" t="s">
        <v>18</v>
      </c>
      <c r="K42" s="432"/>
      <c r="L42" s="433"/>
      <c r="M42" s="29">
        <f>M43+M47+M51</f>
        <v>38024322</v>
      </c>
      <c r="N42" s="29">
        <f>N43+N47+N51</f>
        <v>129266771</v>
      </c>
      <c r="O42" s="29">
        <f>O43+O47+O51</f>
        <v>-1002749</v>
      </c>
      <c r="P42" s="30">
        <f>N42+O42</f>
        <v>128264022</v>
      </c>
    </row>
    <row r="43" spans="1:16" s="25" customFormat="1" ht="18" customHeight="1" x14ac:dyDescent="0.2">
      <c r="A43" s="32"/>
      <c r="B43" s="414" t="s">
        <v>62</v>
      </c>
      <c r="C43" s="434" t="s">
        <v>93</v>
      </c>
      <c r="D43" s="435"/>
      <c r="E43" s="27">
        <f>E44+E45+E46</f>
        <v>0</v>
      </c>
      <c r="F43" s="27">
        <f>F44+F45+F46</f>
        <v>52113449</v>
      </c>
      <c r="G43" s="27">
        <f>G44+G45+G46</f>
        <v>6402251</v>
      </c>
      <c r="H43" s="27">
        <f>H44+H45+H46</f>
        <v>58515700</v>
      </c>
      <c r="I43" s="33"/>
      <c r="J43" s="419" t="s">
        <v>51</v>
      </c>
      <c r="K43" s="422" t="s">
        <v>11</v>
      </c>
      <c r="L43" s="423"/>
      <c r="M43" s="27">
        <f>M44+M45+M46</f>
        <v>38024322</v>
      </c>
      <c r="N43" s="27">
        <f>N44+N45+N46</f>
        <v>116981671</v>
      </c>
      <c r="O43" s="27">
        <f>O44+O45+O46</f>
        <v>-1000000</v>
      </c>
      <c r="P43" s="34">
        <f>N43+O43</f>
        <v>115981671</v>
      </c>
    </row>
    <row r="44" spans="1:16" s="25" customFormat="1" ht="18" customHeight="1" x14ac:dyDescent="0.2">
      <c r="A44" s="32"/>
      <c r="B44" s="415"/>
      <c r="C44" s="35" t="s">
        <v>1</v>
      </c>
      <c r="D44" s="36" t="s">
        <v>7</v>
      </c>
      <c r="E44" s="37">
        <f>'2.'!E44+'3.'!E44</f>
        <v>0</v>
      </c>
      <c r="F44" s="37">
        <f>'2.'!F44+'3.'!F44</f>
        <v>52113449</v>
      </c>
      <c r="G44" s="37">
        <f>'2.'!G44+'3.'!G44</f>
        <v>6402251</v>
      </c>
      <c r="H44" s="38">
        <f>+F44+G44</f>
        <v>58515700</v>
      </c>
      <c r="I44" s="33"/>
      <c r="J44" s="420"/>
      <c r="K44" s="35" t="s">
        <v>1</v>
      </c>
      <c r="L44" s="36" t="s">
        <v>7</v>
      </c>
      <c r="M44" s="37">
        <f>'2.'!M44+'3.'!M44</f>
        <v>38024322</v>
      </c>
      <c r="N44" s="37">
        <f>'2.'!N44+'3.'!N44</f>
        <v>116981671</v>
      </c>
      <c r="O44" s="37">
        <f>'2.'!O44+'3.'!O44</f>
        <v>-1000000</v>
      </c>
      <c r="P44" s="38">
        <f>N44+O44</f>
        <v>115981671</v>
      </c>
    </row>
    <row r="45" spans="1:16" s="25" customFormat="1" ht="18" customHeight="1" x14ac:dyDescent="0.2">
      <c r="A45" s="32"/>
      <c r="B45" s="415"/>
      <c r="C45" s="35" t="s">
        <v>2</v>
      </c>
      <c r="D45" s="36" t="s">
        <v>9</v>
      </c>
      <c r="E45" s="37">
        <f>'2.'!E45+'3.'!E45</f>
        <v>0</v>
      </c>
      <c r="F45" s="37">
        <f>'2.'!F45+'3.'!F45</f>
        <v>0</v>
      </c>
      <c r="G45" s="37">
        <f>'2.'!G45+'3.'!G45</f>
        <v>0</v>
      </c>
      <c r="H45" s="38">
        <f>+F45+G45</f>
        <v>0</v>
      </c>
      <c r="I45" s="33"/>
      <c r="J45" s="420"/>
      <c r="K45" s="35" t="s">
        <v>2</v>
      </c>
      <c r="L45" s="36" t="s">
        <v>9</v>
      </c>
      <c r="M45" s="37">
        <f>'2.'!M45+'3.'!M45</f>
        <v>0</v>
      </c>
      <c r="N45" s="37">
        <f>'2.'!N45+'3.'!N45</f>
        <v>0</v>
      </c>
      <c r="O45" s="37">
        <f>'2.'!O45+'3.'!O45</f>
        <v>0</v>
      </c>
      <c r="P45" s="38">
        <f t="shared" ref="P45:P54" si="5">N45+O45</f>
        <v>0</v>
      </c>
    </row>
    <row r="46" spans="1:16" s="25" customFormat="1" ht="18" customHeight="1" x14ac:dyDescent="0.2">
      <c r="A46" s="32"/>
      <c r="B46" s="416"/>
      <c r="C46" s="35" t="s">
        <v>4</v>
      </c>
      <c r="D46" s="36" t="s">
        <v>8</v>
      </c>
      <c r="E46" s="37">
        <f>'2.'!E46+'3.'!E46</f>
        <v>0</v>
      </c>
      <c r="F46" s="37">
        <f>'2.'!F46+'3.'!F46</f>
        <v>0</v>
      </c>
      <c r="G46" s="37">
        <f>'2.'!G46+'3.'!G46</f>
        <v>0</v>
      </c>
      <c r="H46" s="38">
        <f>+F46+G46</f>
        <v>0</v>
      </c>
      <c r="I46" s="33"/>
      <c r="J46" s="421"/>
      <c r="K46" s="35" t="s">
        <v>4</v>
      </c>
      <c r="L46" s="36" t="s">
        <v>8</v>
      </c>
      <c r="M46" s="37">
        <f>'2.'!M46+'3.'!M46</f>
        <v>0</v>
      </c>
      <c r="N46" s="37">
        <f>'2.'!N46+'3.'!N46</f>
        <v>0</v>
      </c>
      <c r="O46" s="37">
        <f>'2.'!O46+'3.'!O46</f>
        <v>0</v>
      </c>
      <c r="P46" s="38">
        <f t="shared" si="5"/>
        <v>0</v>
      </c>
    </row>
    <row r="47" spans="1:16" s="25" customFormat="1" ht="18" customHeight="1" x14ac:dyDescent="0.2">
      <c r="A47" s="32"/>
      <c r="B47" s="414" t="s">
        <v>65</v>
      </c>
      <c r="C47" s="417" t="s">
        <v>21</v>
      </c>
      <c r="D47" s="418"/>
      <c r="E47" s="27">
        <f>E48+E49+E50</f>
        <v>0</v>
      </c>
      <c r="F47" s="27">
        <f>F48+F49+F50</f>
        <v>0</v>
      </c>
      <c r="G47" s="27">
        <f>G48+G49+G50</f>
        <v>641739</v>
      </c>
      <c r="H47" s="27">
        <f>H48+H49+H50</f>
        <v>641739</v>
      </c>
      <c r="I47" s="33"/>
      <c r="J47" s="419" t="s">
        <v>52</v>
      </c>
      <c r="K47" s="417" t="s">
        <v>12</v>
      </c>
      <c r="L47" s="418"/>
      <c r="M47" s="27">
        <f>M48+M49+M50</f>
        <v>0</v>
      </c>
      <c r="N47" s="27">
        <f>N48+N49+N50</f>
        <v>12285100</v>
      </c>
      <c r="O47" s="27">
        <f>O48+O49+O50</f>
        <v>-2749</v>
      </c>
      <c r="P47" s="40">
        <f t="shared" si="5"/>
        <v>12282351</v>
      </c>
    </row>
    <row r="48" spans="1:16" s="25" customFormat="1" ht="18" customHeight="1" x14ac:dyDescent="0.2">
      <c r="A48" s="32"/>
      <c r="B48" s="415"/>
      <c r="C48" s="35" t="s">
        <v>1</v>
      </c>
      <c r="D48" s="36" t="s">
        <v>7</v>
      </c>
      <c r="E48" s="37">
        <f>'2.'!E48+'3.'!E48</f>
        <v>0</v>
      </c>
      <c r="F48" s="37">
        <f>'2.'!F48+'3.'!F48</f>
        <v>0</v>
      </c>
      <c r="G48" s="37">
        <f>'2.'!G48+'3.'!G48</f>
        <v>641739</v>
      </c>
      <c r="H48" s="38">
        <f>+G48+F48</f>
        <v>641739</v>
      </c>
      <c r="I48" s="33"/>
      <c r="J48" s="420"/>
      <c r="K48" s="35" t="s">
        <v>1</v>
      </c>
      <c r="L48" s="36" t="s">
        <v>7</v>
      </c>
      <c r="M48" s="37">
        <f>'2.'!M48+'3.'!M48</f>
        <v>0</v>
      </c>
      <c r="N48" s="37">
        <f>'2.'!N48+'3.'!N48</f>
        <v>12285100</v>
      </c>
      <c r="O48" s="37">
        <f>'2.'!O48+'3.'!O48</f>
        <v>-2749</v>
      </c>
      <c r="P48" s="38">
        <f t="shared" si="5"/>
        <v>12282351</v>
      </c>
    </row>
    <row r="49" spans="1:16" s="25" customFormat="1" ht="18" customHeight="1" x14ac:dyDescent="0.2">
      <c r="A49" s="32"/>
      <c r="B49" s="415"/>
      <c r="C49" s="35" t="s">
        <v>2</v>
      </c>
      <c r="D49" s="36" t="s">
        <v>9</v>
      </c>
      <c r="E49" s="37">
        <f>'2.'!E49+'3.'!E49</f>
        <v>0</v>
      </c>
      <c r="F49" s="37">
        <f>'2.'!F49+'3.'!F49</f>
        <v>0</v>
      </c>
      <c r="G49" s="37">
        <f>'2.'!G49+'3.'!G49</f>
        <v>0</v>
      </c>
      <c r="H49" s="38">
        <f>+G49+F49</f>
        <v>0</v>
      </c>
      <c r="I49" s="33"/>
      <c r="J49" s="420"/>
      <c r="K49" s="35" t="s">
        <v>2</v>
      </c>
      <c r="L49" s="36" t="s">
        <v>9</v>
      </c>
      <c r="M49" s="37">
        <f>'2.'!M49+'3.'!M49</f>
        <v>0</v>
      </c>
      <c r="N49" s="37">
        <f>'2.'!N49+'3.'!N49</f>
        <v>0</v>
      </c>
      <c r="O49" s="37">
        <f>'2.'!O49+'3.'!O49</f>
        <v>0</v>
      </c>
      <c r="P49" s="38">
        <f t="shared" si="5"/>
        <v>0</v>
      </c>
    </row>
    <row r="50" spans="1:16" s="25" customFormat="1" ht="18" customHeight="1" x14ac:dyDescent="0.2">
      <c r="A50" s="32"/>
      <c r="B50" s="416"/>
      <c r="C50" s="35" t="s">
        <v>4</v>
      </c>
      <c r="D50" s="36" t="s">
        <v>8</v>
      </c>
      <c r="E50" s="37">
        <f>'2.'!E50+'3.'!E50</f>
        <v>0</v>
      </c>
      <c r="F50" s="37">
        <f>'2.'!F50+'3.'!F50</f>
        <v>0</v>
      </c>
      <c r="G50" s="37">
        <f>'2.'!G50+'3.'!G50</f>
        <v>0</v>
      </c>
      <c r="H50" s="38">
        <f>+G50+F50</f>
        <v>0</v>
      </c>
      <c r="I50" s="33"/>
      <c r="J50" s="421"/>
      <c r="K50" s="35" t="s">
        <v>4</v>
      </c>
      <c r="L50" s="36" t="s">
        <v>8</v>
      </c>
      <c r="M50" s="37">
        <f>'2.'!M50+'3.'!M50</f>
        <v>0</v>
      </c>
      <c r="N50" s="37">
        <f>'2.'!N50+'3.'!N50</f>
        <v>0</v>
      </c>
      <c r="O50" s="37">
        <f>'2.'!O50+'3.'!O50</f>
        <v>0</v>
      </c>
      <c r="P50" s="38">
        <f t="shared" si="5"/>
        <v>0</v>
      </c>
    </row>
    <row r="51" spans="1:16" s="25" customFormat="1" ht="18" customHeight="1" x14ac:dyDescent="0.2">
      <c r="A51" s="32"/>
      <c r="B51" s="414" t="s">
        <v>67</v>
      </c>
      <c r="C51" s="422" t="s">
        <v>43</v>
      </c>
      <c r="D51" s="423"/>
      <c r="E51" s="27">
        <f>E52+E53+E54</f>
        <v>1896800</v>
      </c>
      <c r="F51" s="27">
        <f>F52+F53+F54</f>
        <v>1896800</v>
      </c>
      <c r="G51" s="27">
        <f>G52+G53+G54</f>
        <v>316049</v>
      </c>
      <c r="H51" s="27">
        <f>H52+H53+H54</f>
        <v>2212849</v>
      </c>
      <c r="I51" s="33"/>
      <c r="J51" s="419" t="s">
        <v>53</v>
      </c>
      <c r="K51" s="424" t="s">
        <v>54</v>
      </c>
      <c r="L51" s="424"/>
      <c r="M51" s="27">
        <f>M52+M53+M54</f>
        <v>0</v>
      </c>
      <c r="N51" s="27">
        <f>N52+N53+N54</f>
        <v>0</v>
      </c>
      <c r="O51" s="27">
        <f>O52+O53+O54</f>
        <v>0</v>
      </c>
      <c r="P51" s="41">
        <f t="shared" si="5"/>
        <v>0</v>
      </c>
    </row>
    <row r="52" spans="1:16" s="25" customFormat="1" ht="18" customHeight="1" x14ac:dyDescent="0.2">
      <c r="A52" s="32"/>
      <c r="B52" s="415"/>
      <c r="C52" s="35" t="s">
        <v>1</v>
      </c>
      <c r="D52" s="36" t="s">
        <v>7</v>
      </c>
      <c r="E52" s="37">
        <f>'2.'!E52+'3.'!E52</f>
        <v>1896800</v>
      </c>
      <c r="F52" s="37">
        <f>'2.'!F52+'3.'!F52</f>
        <v>1896800</v>
      </c>
      <c r="G52" s="37">
        <f>'2.'!G52+'3.'!G52</f>
        <v>316049</v>
      </c>
      <c r="H52" s="38">
        <f>+G52+F52</f>
        <v>2212849</v>
      </c>
      <c r="I52" s="33"/>
      <c r="J52" s="420"/>
      <c r="K52" s="35" t="s">
        <v>1</v>
      </c>
      <c r="L52" s="36" t="s">
        <v>7</v>
      </c>
      <c r="M52" s="37">
        <f>'2.'!M52+'3.'!M52</f>
        <v>0</v>
      </c>
      <c r="N52" s="37">
        <f>'2.'!N52+'3.'!N52</f>
        <v>0</v>
      </c>
      <c r="O52" s="37">
        <f>'2.'!O52+'3.'!O52</f>
        <v>0</v>
      </c>
      <c r="P52" s="38">
        <f>N52+O52</f>
        <v>0</v>
      </c>
    </row>
    <row r="53" spans="1:16" s="25" customFormat="1" ht="18" customHeight="1" x14ac:dyDescent="0.2">
      <c r="A53" s="32"/>
      <c r="B53" s="415"/>
      <c r="C53" s="35" t="s">
        <v>2</v>
      </c>
      <c r="D53" s="36" t="s">
        <v>9</v>
      </c>
      <c r="E53" s="37">
        <f>'2.'!E53+'3.'!E53</f>
        <v>0</v>
      </c>
      <c r="F53" s="37">
        <f>'2.'!F53+'3.'!F53</f>
        <v>0</v>
      </c>
      <c r="G53" s="37">
        <f>'2.'!G53+'3.'!G53</f>
        <v>0</v>
      </c>
      <c r="H53" s="38">
        <f>+G53+F53</f>
        <v>0</v>
      </c>
      <c r="I53" s="33"/>
      <c r="J53" s="420"/>
      <c r="K53" s="35" t="s">
        <v>2</v>
      </c>
      <c r="L53" s="36" t="s">
        <v>9</v>
      </c>
      <c r="M53" s="37">
        <f>'2.'!M53+'3.'!M53</f>
        <v>0</v>
      </c>
      <c r="N53" s="37">
        <f>'2.'!N53+'3.'!N53</f>
        <v>0</v>
      </c>
      <c r="O53" s="37">
        <f>'2.'!O53+'3.'!O53</f>
        <v>0</v>
      </c>
      <c r="P53" s="38">
        <f>N53+O53</f>
        <v>0</v>
      </c>
    </row>
    <row r="54" spans="1:16" s="25" customFormat="1" ht="18" customHeight="1" x14ac:dyDescent="0.2">
      <c r="A54" s="42"/>
      <c r="B54" s="416"/>
      <c r="C54" s="35" t="s">
        <v>4</v>
      </c>
      <c r="D54" s="36" t="s">
        <v>8</v>
      </c>
      <c r="E54" s="37">
        <f>'2.'!E54+'3.'!E54</f>
        <v>0</v>
      </c>
      <c r="F54" s="37">
        <f>'2.'!F54+'3.'!F54</f>
        <v>0</v>
      </c>
      <c r="G54" s="37">
        <f>'2.'!G54+'3.'!G54</f>
        <v>0</v>
      </c>
      <c r="H54" s="38">
        <f>+G54+F54</f>
        <v>0</v>
      </c>
      <c r="I54" s="46"/>
      <c r="J54" s="421"/>
      <c r="K54" s="35" t="s">
        <v>4</v>
      </c>
      <c r="L54" s="36" t="s">
        <v>8</v>
      </c>
      <c r="M54" s="37">
        <f>'2.'!M54+'3.'!M54</f>
        <v>0</v>
      </c>
      <c r="N54" s="37">
        <f>'2.'!N54+'3.'!N54</f>
        <v>0</v>
      </c>
      <c r="O54" s="37">
        <f>'2.'!O54+'3.'!O54</f>
        <v>0</v>
      </c>
      <c r="P54" s="38">
        <f t="shared" si="5"/>
        <v>0</v>
      </c>
    </row>
    <row r="55" spans="1:16" s="25" customFormat="1" ht="18" customHeight="1" x14ac:dyDescent="0.2">
      <c r="A55" s="120" t="s">
        <v>3</v>
      </c>
      <c r="B55" s="396" t="s">
        <v>22</v>
      </c>
      <c r="C55" s="397"/>
      <c r="D55" s="398"/>
      <c r="E55" s="110">
        <f>E56+E57+E58</f>
        <v>1896800</v>
      </c>
      <c r="F55" s="110">
        <f>F56+F57+F58</f>
        <v>54010249</v>
      </c>
      <c r="G55" s="110">
        <f>G56+G57+G58</f>
        <v>7360039</v>
      </c>
      <c r="H55" s="110">
        <f>H56+H57+H58</f>
        <v>61370288</v>
      </c>
      <c r="I55" s="121" t="s">
        <v>3</v>
      </c>
      <c r="J55" s="396" t="s">
        <v>15</v>
      </c>
      <c r="K55" s="397"/>
      <c r="L55" s="398"/>
      <c r="M55" s="110">
        <f>M56+M57+M58</f>
        <v>38024322</v>
      </c>
      <c r="N55" s="110">
        <f>N56+N57+N58</f>
        <v>129266771</v>
      </c>
      <c r="O55" s="110">
        <f>O56+O57+O58</f>
        <v>-1002749</v>
      </c>
      <c r="P55" s="111">
        <f>P56+P57+P58</f>
        <v>128264022</v>
      </c>
    </row>
    <row r="56" spans="1:16" s="25" customFormat="1" ht="18" customHeight="1" x14ac:dyDescent="0.2">
      <c r="A56" s="112"/>
      <c r="B56" s="399" t="s">
        <v>70</v>
      </c>
      <c r="C56" s="113" t="s">
        <v>1</v>
      </c>
      <c r="D56" s="114" t="s">
        <v>7</v>
      </c>
      <c r="E56" s="115">
        <f t="shared" ref="E56:H58" si="6">E44+E48+E52</f>
        <v>1896800</v>
      </c>
      <c r="F56" s="115">
        <f t="shared" si="6"/>
        <v>54010249</v>
      </c>
      <c r="G56" s="115">
        <f t="shared" si="6"/>
        <v>7360039</v>
      </c>
      <c r="H56" s="115">
        <f>H44+H48+H52</f>
        <v>61370288</v>
      </c>
      <c r="I56" s="123"/>
      <c r="J56" s="401" t="s">
        <v>55</v>
      </c>
      <c r="K56" s="113" t="s">
        <v>1</v>
      </c>
      <c r="L56" s="114" t="s">
        <v>7</v>
      </c>
      <c r="M56" s="115">
        <f>M44+M48+M52</f>
        <v>38024322</v>
      </c>
      <c r="N56" s="115">
        <f>N44+N48+N52</f>
        <v>129266771</v>
      </c>
      <c r="O56" s="115">
        <f>O44+O48+O52</f>
        <v>-1002749</v>
      </c>
      <c r="P56" s="116">
        <f>P44+P48+P52</f>
        <v>128264022</v>
      </c>
    </row>
    <row r="57" spans="1:16" s="25" customFormat="1" ht="18" customHeight="1" x14ac:dyDescent="0.2">
      <c r="A57" s="112"/>
      <c r="B57" s="400"/>
      <c r="C57" s="113" t="s">
        <v>2</v>
      </c>
      <c r="D57" s="114" t="s">
        <v>9</v>
      </c>
      <c r="E57" s="115">
        <f t="shared" si="6"/>
        <v>0</v>
      </c>
      <c r="F57" s="115">
        <f t="shared" si="6"/>
        <v>0</v>
      </c>
      <c r="G57" s="115">
        <f t="shared" si="6"/>
        <v>0</v>
      </c>
      <c r="H57" s="115">
        <f t="shared" si="6"/>
        <v>0</v>
      </c>
      <c r="I57" s="123"/>
      <c r="J57" s="401"/>
      <c r="K57" s="113" t="s">
        <v>2</v>
      </c>
      <c r="L57" s="114" t="s">
        <v>9</v>
      </c>
      <c r="M57" s="115">
        <f t="shared" ref="M57:O58" si="7">M45+M49+M53</f>
        <v>0</v>
      </c>
      <c r="N57" s="115">
        <f t="shared" si="7"/>
        <v>0</v>
      </c>
      <c r="O57" s="115">
        <f t="shared" si="7"/>
        <v>0</v>
      </c>
      <c r="P57" s="116">
        <f>P45+P49+P53</f>
        <v>0</v>
      </c>
    </row>
    <row r="58" spans="1:16" s="25" customFormat="1" ht="18" customHeight="1" x14ac:dyDescent="0.2">
      <c r="A58" s="112"/>
      <c r="B58" s="400"/>
      <c r="C58" s="124" t="s">
        <v>4</v>
      </c>
      <c r="D58" s="125" t="s">
        <v>8</v>
      </c>
      <c r="E58" s="115">
        <f t="shared" si="6"/>
        <v>0</v>
      </c>
      <c r="F58" s="115">
        <f t="shared" si="6"/>
        <v>0</v>
      </c>
      <c r="G58" s="115">
        <f t="shared" si="6"/>
        <v>0</v>
      </c>
      <c r="H58" s="115">
        <f t="shared" si="6"/>
        <v>0</v>
      </c>
      <c r="I58" s="123"/>
      <c r="J58" s="402"/>
      <c r="K58" s="124" t="s">
        <v>4</v>
      </c>
      <c r="L58" s="125" t="s">
        <v>8</v>
      </c>
      <c r="M58" s="115">
        <f t="shared" si="7"/>
        <v>0</v>
      </c>
      <c r="N58" s="115">
        <f t="shared" si="7"/>
        <v>0</v>
      </c>
      <c r="O58" s="115">
        <f t="shared" si="7"/>
        <v>0</v>
      </c>
      <c r="P58" s="119">
        <f>P46+P50+P54</f>
        <v>0</v>
      </c>
    </row>
    <row r="59" spans="1:16" s="351" customFormat="1" ht="31.5" customHeight="1" thickBot="1" x14ac:dyDescent="0.25">
      <c r="A59" s="403" t="s">
        <v>85</v>
      </c>
      <c r="B59" s="404"/>
      <c r="C59" s="404"/>
      <c r="D59" s="404"/>
      <c r="E59" s="347">
        <f>M55-E55</f>
        <v>36127522</v>
      </c>
      <c r="F59" s="347">
        <f>N55-F55</f>
        <v>75256522</v>
      </c>
      <c r="G59" s="347"/>
      <c r="H59" s="347">
        <f>+P55-H55</f>
        <v>66893734</v>
      </c>
      <c r="I59" s="403" t="s">
        <v>86</v>
      </c>
      <c r="J59" s="404"/>
      <c r="K59" s="404"/>
      <c r="L59" s="404"/>
      <c r="M59" s="348"/>
      <c r="N59" s="348"/>
      <c r="O59" s="349">
        <f>G55-O55</f>
        <v>8362788</v>
      </c>
      <c r="P59" s="350"/>
    </row>
    <row r="60" spans="1:16" s="25" customFormat="1" ht="18" customHeight="1" x14ac:dyDescent="0.2">
      <c r="A60" s="107" t="s">
        <v>29</v>
      </c>
      <c r="B60" s="405" t="s">
        <v>30</v>
      </c>
      <c r="C60" s="406"/>
      <c r="D60" s="407"/>
      <c r="E60" s="126">
        <f>E61+E62+E63</f>
        <v>741866398</v>
      </c>
      <c r="F60" s="126">
        <f>F61+F62+F63</f>
        <v>2240243222</v>
      </c>
      <c r="G60" s="126">
        <f>G61+G62+G63</f>
        <v>64064757</v>
      </c>
      <c r="H60" s="126">
        <f>H61+H62+H63</f>
        <v>2304307979</v>
      </c>
      <c r="I60" s="127" t="s">
        <v>29</v>
      </c>
      <c r="J60" s="408" t="s">
        <v>32</v>
      </c>
      <c r="K60" s="409"/>
      <c r="L60" s="409"/>
      <c r="M60" s="128">
        <f>M61+M62+M63</f>
        <v>1025495201</v>
      </c>
      <c r="N60" s="128">
        <f>N61+N62+N63</f>
        <v>2729997266</v>
      </c>
      <c r="O60" s="128">
        <f>O61+O62+O63</f>
        <v>64064757</v>
      </c>
      <c r="P60" s="129">
        <f>P61+P62+P63</f>
        <v>2794062023</v>
      </c>
    </row>
    <row r="61" spans="1:16" s="25" customFormat="1" ht="18" customHeight="1" x14ac:dyDescent="0.2">
      <c r="A61" s="112"/>
      <c r="B61" s="381" t="s">
        <v>72</v>
      </c>
      <c r="C61" s="113" t="s">
        <v>1</v>
      </c>
      <c r="D61" s="114" t="s">
        <v>7</v>
      </c>
      <c r="E61" s="118">
        <f t="shared" ref="E61:H63" si="8">E37+E56</f>
        <v>741866398</v>
      </c>
      <c r="F61" s="118">
        <f>F37+F56</f>
        <v>2240068222</v>
      </c>
      <c r="G61" s="118">
        <f>G37+G56</f>
        <v>63974757</v>
      </c>
      <c r="H61" s="118">
        <f>H37+H56</f>
        <v>2304042979</v>
      </c>
      <c r="I61" s="411"/>
      <c r="J61" s="413" t="s">
        <v>71</v>
      </c>
      <c r="K61" s="113" t="s">
        <v>1</v>
      </c>
      <c r="L61" s="114" t="s">
        <v>7</v>
      </c>
      <c r="M61" s="118">
        <f t="shared" ref="M61:N63" si="9">M37+M56</f>
        <v>1020227701</v>
      </c>
      <c r="N61" s="118">
        <f t="shared" si="9"/>
        <v>2714944531</v>
      </c>
      <c r="O61" s="118">
        <f t="shared" ref="O61:P63" si="10">O37+O56</f>
        <v>64064757</v>
      </c>
      <c r="P61" s="119">
        <f>P37+P56</f>
        <v>2779009288</v>
      </c>
    </row>
    <row r="62" spans="1:16" s="25" customFormat="1" ht="18" customHeight="1" x14ac:dyDescent="0.2">
      <c r="A62" s="112"/>
      <c r="B62" s="382"/>
      <c r="C62" s="113" t="s">
        <v>2</v>
      </c>
      <c r="D62" s="114" t="s">
        <v>9</v>
      </c>
      <c r="E62" s="118">
        <f t="shared" si="8"/>
        <v>0</v>
      </c>
      <c r="F62" s="118">
        <f>F38+F57</f>
        <v>0</v>
      </c>
      <c r="G62" s="118">
        <f t="shared" si="8"/>
        <v>0</v>
      </c>
      <c r="H62" s="118">
        <f t="shared" si="8"/>
        <v>0</v>
      </c>
      <c r="I62" s="411"/>
      <c r="J62" s="413"/>
      <c r="K62" s="113" t="s">
        <v>2</v>
      </c>
      <c r="L62" s="114" t="s">
        <v>9</v>
      </c>
      <c r="M62" s="118">
        <f t="shared" si="9"/>
        <v>5267500</v>
      </c>
      <c r="N62" s="118">
        <f t="shared" si="9"/>
        <v>15052735</v>
      </c>
      <c r="O62" s="118">
        <f t="shared" si="10"/>
        <v>0</v>
      </c>
      <c r="P62" s="119">
        <f>P38+P57</f>
        <v>15052735</v>
      </c>
    </row>
    <row r="63" spans="1:16" s="25" customFormat="1" ht="18" customHeight="1" x14ac:dyDescent="0.2">
      <c r="A63" s="117"/>
      <c r="B63" s="410"/>
      <c r="C63" s="113" t="s">
        <v>4</v>
      </c>
      <c r="D63" s="114" t="s">
        <v>8</v>
      </c>
      <c r="E63" s="115">
        <f t="shared" si="8"/>
        <v>0</v>
      </c>
      <c r="F63" s="118">
        <f>F39+F58</f>
        <v>175000</v>
      </c>
      <c r="G63" s="115">
        <f t="shared" si="8"/>
        <v>90000</v>
      </c>
      <c r="H63" s="115">
        <f>H39+H58</f>
        <v>265000</v>
      </c>
      <c r="I63" s="412"/>
      <c r="J63" s="413"/>
      <c r="K63" s="113" t="s">
        <v>4</v>
      </c>
      <c r="L63" s="114" t="s">
        <v>8</v>
      </c>
      <c r="M63" s="115">
        <f t="shared" si="9"/>
        <v>0</v>
      </c>
      <c r="N63" s="115">
        <f t="shared" si="9"/>
        <v>0</v>
      </c>
      <c r="O63" s="115">
        <f t="shared" si="10"/>
        <v>0</v>
      </c>
      <c r="P63" s="116">
        <f t="shared" si="10"/>
        <v>0</v>
      </c>
    </row>
    <row r="64" spans="1:16" s="351" customFormat="1" ht="30" customHeight="1" thickBot="1" x14ac:dyDescent="0.25">
      <c r="A64" s="393" t="s">
        <v>59</v>
      </c>
      <c r="B64" s="394"/>
      <c r="C64" s="394"/>
      <c r="D64" s="395"/>
      <c r="E64" s="371">
        <f>+M60-E60</f>
        <v>283628803</v>
      </c>
      <c r="F64" s="371">
        <f>+N60-F60</f>
        <v>489754044</v>
      </c>
      <c r="G64" s="371"/>
      <c r="H64" s="371">
        <f>+P60-H60</f>
        <v>489754044</v>
      </c>
      <c r="I64" s="393" t="s">
        <v>60</v>
      </c>
      <c r="J64" s="394"/>
      <c r="K64" s="394"/>
      <c r="L64" s="395"/>
      <c r="M64" s="91"/>
      <c r="N64" s="91"/>
      <c r="O64" s="91"/>
      <c r="P64" s="353"/>
    </row>
    <row r="65" spans="1:16" s="25" customFormat="1" ht="18" customHeight="1" x14ac:dyDescent="0.2">
      <c r="A65" s="50" t="s">
        <v>33</v>
      </c>
      <c r="B65" s="385" t="s">
        <v>31</v>
      </c>
      <c r="C65" s="386"/>
      <c r="D65" s="387"/>
      <c r="E65" s="51">
        <f>E66+E67</f>
        <v>296072803</v>
      </c>
      <c r="F65" s="51">
        <f>F66+F67</f>
        <v>502198044</v>
      </c>
      <c r="G65" s="51">
        <f>G66+G67</f>
        <v>15624000</v>
      </c>
      <c r="H65" s="51">
        <f>H66+H67</f>
        <v>517822044</v>
      </c>
      <c r="I65" s="50" t="s">
        <v>33</v>
      </c>
      <c r="J65" s="385" t="s">
        <v>44</v>
      </c>
      <c r="K65" s="386"/>
      <c r="L65" s="387"/>
      <c r="M65" s="51">
        <f>M66+M67</f>
        <v>12444000</v>
      </c>
      <c r="N65" s="51">
        <f>N66+N67</f>
        <v>12444000</v>
      </c>
      <c r="O65" s="51">
        <f>O66+O67</f>
        <v>15624000</v>
      </c>
      <c r="P65" s="52">
        <f>P66+P67</f>
        <v>28068000</v>
      </c>
    </row>
    <row r="66" spans="1:16" s="25" customFormat="1" ht="18" customHeight="1" x14ac:dyDescent="0.2">
      <c r="A66" s="53"/>
      <c r="B66" s="388" t="s">
        <v>61</v>
      </c>
      <c r="C66" s="35" t="s">
        <v>1</v>
      </c>
      <c r="D66" s="36" t="s">
        <v>73</v>
      </c>
      <c r="E66" s="37">
        <f>'2.'!E66+'3.'!E66</f>
        <v>296072803</v>
      </c>
      <c r="F66" s="37">
        <f>'2.'!F66+'3.'!F66</f>
        <v>502198044</v>
      </c>
      <c r="G66" s="37">
        <f>'2.'!G66+'3.'!G66</f>
        <v>0</v>
      </c>
      <c r="H66" s="38">
        <f>+G66+F66</f>
        <v>502198044</v>
      </c>
      <c r="I66" s="53"/>
      <c r="J66" s="388" t="s">
        <v>56</v>
      </c>
      <c r="K66" s="35" t="s">
        <v>1</v>
      </c>
      <c r="L66" s="36" t="s">
        <v>76</v>
      </c>
      <c r="M66" s="37">
        <v>0</v>
      </c>
      <c r="N66" s="37">
        <v>0</v>
      </c>
      <c r="O66" s="37">
        <v>0</v>
      </c>
      <c r="P66" s="38">
        <f>+O66+M66</f>
        <v>0</v>
      </c>
    </row>
    <row r="67" spans="1:16" s="25" customFormat="1" ht="18" customHeight="1" x14ac:dyDescent="0.2">
      <c r="A67" s="53"/>
      <c r="B67" s="389"/>
      <c r="C67" s="35" t="s">
        <v>2</v>
      </c>
      <c r="D67" s="36" t="s">
        <v>74</v>
      </c>
      <c r="E67" s="37">
        <f>'2.'!E67</f>
        <v>0</v>
      </c>
      <c r="F67" s="37">
        <f>'2.'!F67</f>
        <v>0</v>
      </c>
      <c r="G67" s="37">
        <f>'2.'!G67</f>
        <v>15624000</v>
      </c>
      <c r="H67" s="38">
        <f>+G67+F67</f>
        <v>15624000</v>
      </c>
      <c r="I67" s="53"/>
      <c r="J67" s="389"/>
      <c r="K67" s="35" t="s">
        <v>2</v>
      </c>
      <c r="L67" s="36" t="s">
        <v>75</v>
      </c>
      <c r="M67" s="37">
        <f>'2.'!M67</f>
        <v>12444000</v>
      </c>
      <c r="N67" s="37">
        <f>'2.'!N67</f>
        <v>12444000</v>
      </c>
      <c r="O67" s="37">
        <f>'2.'!O67</f>
        <v>15624000</v>
      </c>
      <c r="P67" s="38">
        <f>N67+O67</f>
        <v>28068000</v>
      </c>
    </row>
    <row r="68" spans="1:16" s="54" customFormat="1" ht="18" customHeight="1" x14ac:dyDescent="0.2">
      <c r="A68" s="120" t="s">
        <v>34</v>
      </c>
      <c r="B68" s="390" t="s">
        <v>24</v>
      </c>
      <c r="C68" s="391"/>
      <c r="D68" s="392"/>
      <c r="E68" s="110">
        <f>E69+E70+E71</f>
        <v>1037939201</v>
      </c>
      <c r="F68" s="110">
        <f>F69+F70+F71</f>
        <v>2742441266</v>
      </c>
      <c r="G68" s="110">
        <f>G69+G70+G71</f>
        <v>79688757</v>
      </c>
      <c r="H68" s="110">
        <f>H69+H70+H71</f>
        <v>2822130023</v>
      </c>
      <c r="I68" s="121" t="s">
        <v>34</v>
      </c>
      <c r="J68" s="390" t="s">
        <v>25</v>
      </c>
      <c r="K68" s="391"/>
      <c r="L68" s="392"/>
      <c r="M68" s="110">
        <f>M69+M70+M71</f>
        <v>1037939201</v>
      </c>
      <c r="N68" s="110">
        <f>N69+N70+N71</f>
        <v>2742441266</v>
      </c>
      <c r="O68" s="110">
        <f>O69+O70+O71</f>
        <v>79688757</v>
      </c>
      <c r="P68" s="111">
        <f>P69+P70+P71</f>
        <v>2822130023</v>
      </c>
    </row>
    <row r="69" spans="1:16" s="54" customFormat="1" ht="18" customHeight="1" x14ac:dyDescent="0.2">
      <c r="A69" s="130"/>
      <c r="B69" s="381" t="s">
        <v>58</v>
      </c>
      <c r="C69" s="113" t="s">
        <v>1</v>
      </c>
      <c r="D69" s="114" t="s">
        <v>7</v>
      </c>
      <c r="E69" s="115">
        <f>E61+E66+E67</f>
        <v>1037939201</v>
      </c>
      <c r="F69" s="115">
        <f>F61+F66+F67</f>
        <v>2742266266</v>
      </c>
      <c r="G69" s="115">
        <f>G61+G66+G67</f>
        <v>79598757</v>
      </c>
      <c r="H69" s="115">
        <f>H61+H66+H67</f>
        <v>2821865023</v>
      </c>
      <c r="I69" s="131"/>
      <c r="J69" s="381" t="s">
        <v>57</v>
      </c>
      <c r="K69" s="113" t="s">
        <v>1</v>
      </c>
      <c r="L69" s="114" t="s">
        <v>7</v>
      </c>
      <c r="M69" s="115">
        <f>M61+M66+M67</f>
        <v>1032671701</v>
      </c>
      <c r="N69" s="115">
        <f>N61+N66+N67</f>
        <v>2727388531</v>
      </c>
      <c r="O69" s="115">
        <f>O61+O66+O67</f>
        <v>79688757</v>
      </c>
      <c r="P69" s="116">
        <f>P61+P66+P67</f>
        <v>2807077288</v>
      </c>
    </row>
    <row r="70" spans="1:16" s="54" customFormat="1" ht="18" customHeight="1" x14ac:dyDescent="0.2">
      <c r="A70" s="130"/>
      <c r="B70" s="382"/>
      <c r="C70" s="113" t="s">
        <v>2</v>
      </c>
      <c r="D70" s="114" t="s">
        <v>9</v>
      </c>
      <c r="E70" s="115">
        <f>'2.'!E70+'3.'!E70</f>
        <v>0</v>
      </c>
      <c r="F70" s="115">
        <f>'2.'!F70+'3.'!F70</f>
        <v>0</v>
      </c>
      <c r="G70" s="115">
        <f>'2.'!G70+'3.'!G70</f>
        <v>0</v>
      </c>
      <c r="H70" s="115">
        <f>H62</f>
        <v>0</v>
      </c>
      <c r="I70" s="131"/>
      <c r="J70" s="382"/>
      <c r="K70" s="113" t="s">
        <v>2</v>
      </c>
      <c r="L70" s="114" t="s">
        <v>9</v>
      </c>
      <c r="M70" s="115">
        <f t="shared" ref="M70:P71" si="11">M62</f>
        <v>5267500</v>
      </c>
      <c r="N70" s="115">
        <f t="shared" si="11"/>
        <v>15052735</v>
      </c>
      <c r="O70" s="115">
        <f t="shared" si="11"/>
        <v>0</v>
      </c>
      <c r="P70" s="116">
        <f t="shared" si="11"/>
        <v>15052735</v>
      </c>
    </row>
    <row r="71" spans="1:16" s="54" customFormat="1" ht="18" customHeight="1" thickBot="1" x14ac:dyDescent="0.25">
      <c r="A71" s="132"/>
      <c r="B71" s="383"/>
      <c r="C71" s="133" t="s">
        <v>4</v>
      </c>
      <c r="D71" s="134" t="s">
        <v>8</v>
      </c>
      <c r="E71" s="135">
        <f>'2.'!E71+'3.'!E71</f>
        <v>0</v>
      </c>
      <c r="F71" s="135">
        <f>'2.'!F71+'3.'!F71</f>
        <v>175000</v>
      </c>
      <c r="G71" s="135">
        <f>'2.'!G71+'3.'!G71</f>
        <v>90000</v>
      </c>
      <c r="H71" s="135">
        <f>H63</f>
        <v>265000</v>
      </c>
      <c r="I71" s="136"/>
      <c r="J71" s="383"/>
      <c r="K71" s="133" t="s">
        <v>4</v>
      </c>
      <c r="L71" s="134" t="s">
        <v>8</v>
      </c>
      <c r="M71" s="135">
        <f t="shared" si="11"/>
        <v>0</v>
      </c>
      <c r="N71" s="135">
        <f>N63</f>
        <v>0</v>
      </c>
      <c r="O71" s="135">
        <f t="shared" si="11"/>
        <v>0</v>
      </c>
      <c r="P71" s="137">
        <f t="shared" si="11"/>
        <v>0</v>
      </c>
    </row>
    <row r="73" spans="1:16" x14ac:dyDescent="0.2">
      <c r="O73" s="104"/>
    </row>
    <row r="74" spans="1:16" x14ac:dyDescent="0.2">
      <c r="A74" s="384"/>
      <c r="B74" s="384"/>
      <c r="C74" s="384"/>
      <c r="D74" s="384"/>
      <c r="E74" s="384"/>
      <c r="F74" s="19"/>
      <c r="G74" s="19"/>
      <c r="H74" s="19"/>
    </row>
  </sheetData>
  <sheetProtection formatCells="0"/>
  <mergeCells count="78">
    <mergeCell ref="A7:P7"/>
    <mergeCell ref="A4:P4"/>
    <mergeCell ref="A5:P5"/>
    <mergeCell ref="A6:P6"/>
    <mergeCell ref="K1:P1"/>
    <mergeCell ref="K2:P2"/>
    <mergeCell ref="A8:P8"/>
    <mergeCell ref="D9:L9"/>
    <mergeCell ref="A10:E10"/>
    <mergeCell ref="I10:P10"/>
    <mergeCell ref="C11:D11"/>
    <mergeCell ref="K11:L11"/>
    <mergeCell ref="A12:P12"/>
    <mergeCell ref="B13:D13"/>
    <mergeCell ref="J13:L13"/>
    <mergeCell ref="B14:B17"/>
    <mergeCell ref="C14:D14"/>
    <mergeCell ref="J14:J17"/>
    <mergeCell ref="K14:L14"/>
    <mergeCell ref="B18:B21"/>
    <mergeCell ref="C18:D18"/>
    <mergeCell ref="J18:J21"/>
    <mergeCell ref="K18:L18"/>
    <mergeCell ref="B22:B25"/>
    <mergeCell ref="C22:D22"/>
    <mergeCell ref="J22:J25"/>
    <mergeCell ref="K22:L22"/>
    <mergeCell ref="A40:D40"/>
    <mergeCell ref="I40:L40"/>
    <mergeCell ref="B26:B29"/>
    <mergeCell ref="C26:D26"/>
    <mergeCell ref="J26:J29"/>
    <mergeCell ref="K26:L26"/>
    <mergeCell ref="A30:H35"/>
    <mergeCell ref="J30:J35"/>
    <mergeCell ref="K30:L30"/>
    <mergeCell ref="B36:D36"/>
    <mergeCell ref="J36:L36"/>
    <mergeCell ref="B37:B39"/>
    <mergeCell ref="I37:I39"/>
    <mergeCell ref="J37:J39"/>
    <mergeCell ref="A41:P41"/>
    <mergeCell ref="B42:D42"/>
    <mergeCell ref="J42:L42"/>
    <mergeCell ref="B43:B46"/>
    <mergeCell ref="C43:D43"/>
    <mergeCell ref="J43:J46"/>
    <mergeCell ref="K43:L43"/>
    <mergeCell ref="B47:B50"/>
    <mergeCell ref="C47:D47"/>
    <mergeCell ref="J47:J50"/>
    <mergeCell ref="K47:L47"/>
    <mergeCell ref="B51:B54"/>
    <mergeCell ref="C51:D51"/>
    <mergeCell ref="J51:J54"/>
    <mergeCell ref="K51:L51"/>
    <mergeCell ref="A64:D64"/>
    <mergeCell ref="I64:L64"/>
    <mergeCell ref="B55:D55"/>
    <mergeCell ref="J55:L55"/>
    <mergeCell ref="B56:B58"/>
    <mergeCell ref="J56:J58"/>
    <mergeCell ref="A59:D59"/>
    <mergeCell ref="I59:L59"/>
    <mergeCell ref="B60:D60"/>
    <mergeCell ref="J60:L60"/>
    <mergeCell ref="B61:B63"/>
    <mergeCell ref="I61:I63"/>
    <mergeCell ref="J61:J63"/>
    <mergeCell ref="B69:B71"/>
    <mergeCell ref="J69:J71"/>
    <mergeCell ref="A74:E74"/>
    <mergeCell ref="B65:D65"/>
    <mergeCell ref="J65:L65"/>
    <mergeCell ref="B66:B67"/>
    <mergeCell ref="J66:J67"/>
    <mergeCell ref="B68:D68"/>
    <mergeCell ref="J68:L68"/>
  </mergeCells>
  <printOptions horizontalCentered="1"/>
  <pageMargins left="0.19685039370078741" right="0.19685039370078741" top="3.937007874015748E-2" bottom="0" header="0.43307086614173229" footer="0.51181102362204722"/>
  <pageSetup paperSize="9" scale="61" orientation="landscape" r:id="rId1"/>
  <headerFooter alignWithMargins="0"/>
  <rowBreaks count="1" manualBreakCount="1">
    <brk id="4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A80AB-C481-414A-8769-A98CB1F2E98C}">
  <sheetPr>
    <tabColor theme="8" tint="0.59999389629810485"/>
  </sheetPr>
  <dimension ref="A1:T74"/>
  <sheetViews>
    <sheetView zoomScale="90" zoomScaleNormal="90" workbookViewId="0">
      <pane ySplit="11" topLeftCell="A60" activePane="bottomLeft" state="frozen"/>
      <selection pane="bottomLeft" activeCell="S37" sqref="S37"/>
    </sheetView>
  </sheetViews>
  <sheetFormatPr defaultColWidth="9.140625" defaultRowHeight="12.75" x14ac:dyDescent="0.2"/>
  <cols>
    <col min="1" max="1" width="5.5703125" style="16" customWidth="1"/>
    <col min="2" max="2" width="4.28515625" style="16" customWidth="1"/>
    <col min="3" max="3" width="3.7109375" style="3" customWidth="1"/>
    <col min="4" max="4" width="45.7109375" style="3" customWidth="1"/>
    <col min="5" max="5" width="14.7109375" style="3" customWidth="1"/>
    <col min="6" max="8" width="14.7109375" style="4" customWidth="1"/>
    <col min="9" max="9" width="6.5703125" style="8" customWidth="1"/>
    <col min="10" max="10" width="4.28515625" style="8" customWidth="1"/>
    <col min="11" max="11" width="3.7109375" style="8" customWidth="1"/>
    <col min="12" max="12" width="45.7109375" style="3" customWidth="1"/>
    <col min="13" max="15" width="14.7109375" style="3" customWidth="1"/>
    <col min="16" max="16" width="14.7109375" style="4" customWidth="1"/>
    <col min="17" max="17" width="9.140625" style="3"/>
    <col min="18" max="18" width="11.28515625" style="3" bestFit="1" customWidth="1"/>
    <col min="19" max="16384" width="9.140625" style="3"/>
  </cols>
  <sheetData>
    <row r="1" spans="1:20" ht="14.25" x14ac:dyDescent="0.2">
      <c r="E1" s="4"/>
      <c r="H1" s="8"/>
      <c r="K1" s="464" t="s">
        <v>240</v>
      </c>
      <c r="L1" s="464"/>
      <c r="M1" s="464"/>
      <c r="N1" s="464"/>
      <c r="O1" s="464"/>
      <c r="P1" s="464"/>
      <c r="Q1" s="13"/>
      <c r="R1" s="13"/>
      <c r="S1" s="13"/>
      <c r="T1" s="13"/>
    </row>
    <row r="2" spans="1:20" ht="14.25" x14ac:dyDescent="0.2">
      <c r="E2" s="4"/>
      <c r="H2" s="8"/>
      <c r="K2" s="464" t="s">
        <v>99</v>
      </c>
      <c r="L2" s="464"/>
      <c r="M2" s="464"/>
      <c r="N2" s="464"/>
      <c r="O2" s="464"/>
      <c r="P2" s="464"/>
      <c r="Q2" s="13"/>
      <c r="R2" s="13"/>
      <c r="S2" s="13"/>
      <c r="T2" s="13"/>
    </row>
    <row r="3" spans="1:20" ht="14.25" x14ac:dyDescent="0.2">
      <c r="E3" s="4"/>
      <c r="H3" s="8"/>
      <c r="K3" s="15"/>
      <c r="L3" s="15"/>
      <c r="M3" s="15"/>
      <c r="N3" s="15"/>
      <c r="O3" s="13"/>
      <c r="P3" s="13"/>
      <c r="Q3" s="13"/>
      <c r="R3" s="13"/>
      <c r="S3" s="13"/>
      <c r="T3" s="13"/>
    </row>
    <row r="4" spans="1:20" ht="15.95" customHeight="1" x14ac:dyDescent="0.25">
      <c r="A4" s="455" t="s">
        <v>95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</row>
    <row r="5" spans="1:20" ht="15.95" customHeight="1" x14ac:dyDescent="0.25">
      <c r="A5" s="455" t="s">
        <v>23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</row>
    <row r="6" spans="1:20" ht="15.95" customHeight="1" x14ac:dyDescent="0.25">
      <c r="A6" s="455" t="s">
        <v>39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</row>
    <row r="7" spans="1:20" ht="15.95" customHeight="1" x14ac:dyDescent="0.25">
      <c r="A7" s="455" t="s">
        <v>98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</row>
    <row r="8" spans="1:20" ht="15.95" customHeight="1" x14ac:dyDescent="0.25">
      <c r="A8" s="455" t="s">
        <v>238</v>
      </c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</row>
    <row r="9" spans="1:20" ht="15.95" customHeight="1" thickBot="1" x14ac:dyDescent="0.35">
      <c r="D9" s="542"/>
      <c r="E9" s="542"/>
      <c r="F9" s="542"/>
      <c r="G9" s="542"/>
      <c r="H9" s="542"/>
      <c r="I9" s="542"/>
      <c r="J9" s="542"/>
      <c r="K9" s="542"/>
      <c r="L9" s="542"/>
      <c r="M9" s="55"/>
      <c r="N9" s="55"/>
      <c r="O9" s="55"/>
      <c r="P9" s="7" t="s">
        <v>94</v>
      </c>
    </row>
    <row r="10" spans="1:20" s="5" customFormat="1" ht="21.95" customHeight="1" x14ac:dyDescent="0.2">
      <c r="A10" s="543" t="s">
        <v>37</v>
      </c>
      <c r="B10" s="544"/>
      <c r="C10" s="544"/>
      <c r="D10" s="544"/>
      <c r="E10" s="544"/>
      <c r="F10" s="544"/>
      <c r="G10" s="98"/>
      <c r="H10" s="98"/>
      <c r="I10" s="543" t="s">
        <v>38</v>
      </c>
      <c r="J10" s="544"/>
      <c r="K10" s="544"/>
      <c r="L10" s="544"/>
      <c r="M10" s="544"/>
      <c r="N10" s="544"/>
      <c r="O10" s="544"/>
      <c r="P10" s="545"/>
    </row>
    <row r="11" spans="1:20" s="5" customFormat="1" ht="41.25" customHeight="1" thickBot="1" x14ac:dyDescent="0.25">
      <c r="A11" s="99" t="s">
        <v>77</v>
      </c>
      <c r="B11" s="100" t="s">
        <v>78</v>
      </c>
      <c r="C11" s="546"/>
      <c r="D11" s="547"/>
      <c r="E11" s="92" t="s">
        <v>28</v>
      </c>
      <c r="F11" s="101" t="s">
        <v>88</v>
      </c>
      <c r="G11" s="101" t="s">
        <v>87</v>
      </c>
      <c r="H11" s="101" t="s">
        <v>88</v>
      </c>
      <c r="I11" s="99" t="s">
        <v>77</v>
      </c>
      <c r="J11" s="100" t="s">
        <v>78</v>
      </c>
      <c r="K11" s="548"/>
      <c r="L11" s="549"/>
      <c r="M11" s="92" t="s">
        <v>28</v>
      </c>
      <c r="N11" s="101" t="s">
        <v>88</v>
      </c>
      <c r="O11" s="101" t="s">
        <v>87</v>
      </c>
      <c r="P11" s="102" t="s">
        <v>88</v>
      </c>
    </row>
    <row r="12" spans="1:20" s="1" customFormat="1" ht="18" customHeight="1" x14ac:dyDescent="0.2">
      <c r="A12" s="512" t="s">
        <v>36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4"/>
    </row>
    <row r="13" spans="1:20" s="2" customFormat="1" ht="18" customHeight="1" x14ac:dyDescent="0.2">
      <c r="A13" s="9" t="s">
        <v>0</v>
      </c>
      <c r="B13" s="515" t="s">
        <v>35</v>
      </c>
      <c r="C13" s="516"/>
      <c r="D13" s="517"/>
      <c r="E13" s="56">
        <f>E14+E18+E22+E26</f>
        <v>739129598</v>
      </c>
      <c r="F13" s="56">
        <f>F14+F18+F22+F26</f>
        <v>2161482205</v>
      </c>
      <c r="G13" s="56">
        <f>G14+G18+G22+G26</f>
        <v>56270017</v>
      </c>
      <c r="H13" s="56">
        <f>H14+H18+H22+H26</f>
        <v>2217752222</v>
      </c>
      <c r="I13" s="57" t="s">
        <v>0</v>
      </c>
      <c r="J13" s="539" t="s">
        <v>17</v>
      </c>
      <c r="K13" s="540"/>
      <c r="L13" s="541"/>
      <c r="M13" s="58">
        <f>M14+M18+M22+M26+M30</f>
        <v>611401831</v>
      </c>
      <c r="N13" s="58">
        <f>N14+N18+N22+N30+N26</f>
        <v>2106292790</v>
      </c>
      <c r="O13" s="58">
        <f>O14+O18+O22+O30+O26</f>
        <v>62137376</v>
      </c>
      <c r="P13" s="59">
        <f>P14+P18+P22+P30+P26</f>
        <v>2168430166</v>
      </c>
    </row>
    <row r="14" spans="1:20" s="1" customFormat="1" ht="18" customHeight="1" x14ac:dyDescent="0.2">
      <c r="A14" s="10"/>
      <c r="B14" s="501" t="s">
        <v>50</v>
      </c>
      <c r="C14" s="521" t="s">
        <v>42</v>
      </c>
      <c r="D14" s="522"/>
      <c r="E14" s="56">
        <f>SUM(E15:E17)</f>
        <v>613685856</v>
      </c>
      <c r="F14" s="56">
        <f>F15+F16+F17</f>
        <v>2030865062</v>
      </c>
      <c r="G14" s="56">
        <f>G15+G16+G17</f>
        <v>43052246</v>
      </c>
      <c r="H14" s="56">
        <f>H15+H16+H17</f>
        <v>2073917308</v>
      </c>
      <c r="I14" s="60"/>
      <c r="J14" s="506" t="s">
        <v>45</v>
      </c>
      <c r="K14" s="523" t="s">
        <v>13</v>
      </c>
      <c r="L14" s="523"/>
      <c r="M14" s="56">
        <f>SUM(M15:M17)</f>
        <v>116030191</v>
      </c>
      <c r="N14" s="56">
        <f>N15+N16+N17</f>
        <v>258289305</v>
      </c>
      <c r="O14" s="56">
        <f>O15+O16+O17</f>
        <v>11599482</v>
      </c>
      <c r="P14" s="61">
        <f>P15+P16+P17</f>
        <v>269888787</v>
      </c>
    </row>
    <row r="15" spans="1:20" s="1" customFormat="1" ht="18" customHeight="1" x14ac:dyDescent="0.2">
      <c r="A15" s="10"/>
      <c r="B15" s="502"/>
      <c r="C15" s="62" t="s">
        <v>1</v>
      </c>
      <c r="D15" s="63" t="s">
        <v>7</v>
      </c>
      <c r="E15" s="64">
        <v>613685856</v>
      </c>
      <c r="F15" s="64">
        <v>2030865062</v>
      </c>
      <c r="G15" s="65">
        <v>43052246</v>
      </c>
      <c r="H15" s="66">
        <f>+G15+F15</f>
        <v>2073917308</v>
      </c>
      <c r="I15" s="60"/>
      <c r="J15" s="507"/>
      <c r="K15" s="62" t="s">
        <v>1</v>
      </c>
      <c r="L15" s="63" t="s">
        <v>7</v>
      </c>
      <c r="M15" s="64">
        <v>115930191</v>
      </c>
      <c r="N15" s="64">
        <v>253658297</v>
      </c>
      <c r="O15" s="67">
        <v>11599482</v>
      </c>
      <c r="P15" s="66">
        <f>+O15+N15</f>
        <v>265257779</v>
      </c>
    </row>
    <row r="16" spans="1:20" s="1" customFormat="1" ht="18" customHeight="1" x14ac:dyDescent="0.2">
      <c r="A16" s="10"/>
      <c r="B16" s="502"/>
      <c r="C16" s="62" t="s">
        <v>2</v>
      </c>
      <c r="D16" s="63" t="s">
        <v>9</v>
      </c>
      <c r="E16" s="64">
        <v>0</v>
      </c>
      <c r="F16" s="64">
        <v>0</v>
      </c>
      <c r="G16" s="65">
        <v>0</v>
      </c>
      <c r="H16" s="66">
        <f>+G16+F16</f>
        <v>0</v>
      </c>
      <c r="I16" s="60"/>
      <c r="J16" s="507"/>
      <c r="K16" s="62" t="s">
        <v>2</v>
      </c>
      <c r="L16" s="63" t="s">
        <v>9</v>
      </c>
      <c r="M16" s="64">
        <v>100000</v>
      </c>
      <c r="N16" s="64">
        <v>4631008</v>
      </c>
      <c r="O16" s="67">
        <v>0</v>
      </c>
      <c r="P16" s="66">
        <f>+O16+N16</f>
        <v>4631008</v>
      </c>
    </row>
    <row r="17" spans="1:18" s="1" customFormat="1" ht="18" customHeight="1" x14ac:dyDescent="0.2">
      <c r="A17" s="10"/>
      <c r="B17" s="503"/>
      <c r="C17" s="62" t="s">
        <v>4</v>
      </c>
      <c r="D17" s="63" t="s">
        <v>8</v>
      </c>
      <c r="E17" s="64">
        <v>0</v>
      </c>
      <c r="F17" s="64">
        <v>0</v>
      </c>
      <c r="G17" s="65">
        <v>0</v>
      </c>
      <c r="H17" s="66">
        <f>+G17+F17</f>
        <v>0</v>
      </c>
      <c r="I17" s="60"/>
      <c r="J17" s="508"/>
      <c r="K17" s="62" t="s">
        <v>4</v>
      </c>
      <c r="L17" s="63" t="s">
        <v>8</v>
      </c>
      <c r="M17" s="64">
        <v>0</v>
      </c>
      <c r="N17" s="64">
        <v>0</v>
      </c>
      <c r="O17" s="67">
        <v>0</v>
      </c>
      <c r="P17" s="66">
        <f>+O17+N17</f>
        <v>0</v>
      </c>
    </row>
    <row r="18" spans="1:18" s="1" customFormat="1" ht="18" customHeight="1" x14ac:dyDescent="0.2">
      <c r="A18" s="10"/>
      <c r="B18" s="501" t="s">
        <v>63</v>
      </c>
      <c r="C18" s="504" t="s">
        <v>5</v>
      </c>
      <c r="D18" s="505"/>
      <c r="E18" s="56">
        <v>0</v>
      </c>
      <c r="F18" s="56">
        <f>F19+F20+F21</f>
        <v>0</v>
      </c>
      <c r="G18" s="56">
        <f>G19+G20+G21</f>
        <v>0</v>
      </c>
      <c r="H18" s="56">
        <f>H19+H20+H21</f>
        <v>0</v>
      </c>
      <c r="I18" s="60"/>
      <c r="J18" s="506" t="s">
        <v>46</v>
      </c>
      <c r="K18" s="511" t="s">
        <v>16</v>
      </c>
      <c r="L18" s="511"/>
      <c r="M18" s="56">
        <f>SUM(M19:M21)</f>
        <v>18239095</v>
      </c>
      <c r="N18" s="56">
        <f>N19+N20+N21</f>
        <v>32267023</v>
      </c>
      <c r="O18" s="56">
        <f>O19+O20+O21</f>
        <v>1239353</v>
      </c>
      <c r="P18" s="61">
        <f>P19+P20+P21</f>
        <v>33506376</v>
      </c>
    </row>
    <row r="19" spans="1:18" s="1" customFormat="1" ht="18" customHeight="1" x14ac:dyDescent="0.2">
      <c r="A19" s="10"/>
      <c r="B19" s="502"/>
      <c r="C19" s="62" t="s">
        <v>1</v>
      </c>
      <c r="D19" s="63" t="s">
        <v>7</v>
      </c>
      <c r="E19" s="64">
        <v>0</v>
      </c>
      <c r="F19" s="64">
        <v>0</v>
      </c>
      <c r="G19" s="65">
        <v>0</v>
      </c>
      <c r="H19" s="66">
        <f>+G19+F19</f>
        <v>0</v>
      </c>
      <c r="I19" s="60"/>
      <c r="J19" s="507"/>
      <c r="K19" s="62" t="s">
        <v>1</v>
      </c>
      <c r="L19" s="63" t="s">
        <v>7</v>
      </c>
      <c r="M19" s="64">
        <v>18226095</v>
      </c>
      <c r="N19" s="64">
        <v>30644428</v>
      </c>
      <c r="O19" s="67">
        <v>1239353</v>
      </c>
      <c r="P19" s="66">
        <f>+O19+N19</f>
        <v>31883781</v>
      </c>
    </row>
    <row r="20" spans="1:18" s="1" customFormat="1" ht="18" customHeight="1" x14ac:dyDescent="0.2">
      <c r="A20" s="10"/>
      <c r="B20" s="502"/>
      <c r="C20" s="62" t="s">
        <v>2</v>
      </c>
      <c r="D20" s="63" t="s">
        <v>9</v>
      </c>
      <c r="E20" s="64">
        <v>0</v>
      </c>
      <c r="F20" s="64">
        <v>0</v>
      </c>
      <c r="G20" s="65">
        <v>0</v>
      </c>
      <c r="H20" s="66">
        <f>+G20+F20</f>
        <v>0</v>
      </c>
      <c r="I20" s="60"/>
      <c r="J20" s="507"/>
      <c r="K20" s="62" t="s">
        <v>2</v>
      </c>
      <c r="L20" s="63" t="s">
        <v>9</v>
      </c>
      <c r="M20" s="64">
        <v>13000</v>
      </c>
      <c r="N20" s="64">
        <v>1622595</v>
      </c>
      <c r="O20" s="67">
        <v>0</v>
      </c>
      <c r="P20" s="66">
        <f>+O20+N20</f>
        <v>1622595</v>
      </c>
    </row>
    <row r="21" spans="1:18" s="1" customFormat="1" ht="18" customHeight="1" x14ac:dyDescent="0.2">
      <c r="A21" s="10"/>
      <c r="B21" s="503"/>
      <c r="C21" s="62" t="s">
        <v>4</v>
      </c>
      <c r="D21" s="63" t="s">
        <v>8</v>
      </c>
      <c r="E21" s="64">
        <v>0</v>
      </c>
      <c r="F21" s="64">
        <v>0</v>
      </c>
      <c r="G21" s="65">
        <v>0</v>
      </c>
      <c r="H21" s="66">
        <f>+G21+F21</f>
        <v>0</v>
      </c>
      <c r="I21" s="60"/>
      <c r="J21" s="508"/>
      <c r="K21" s="62" t="s">
        <v>4</v>
      </c>
      <c r="L21" s="63" t="s">
        <v>8</v>
      </c>
      <c r="M21" s="64">
        <v>0</v>
      </c>
      <c r="N21" s="64">
        <v>0</v>
      </c>
      <c r="O21" s="67">
        <v>0</v>
      </c>
      <c r="P21" s="66">
        <f>+O21+N21</f>
        <v>0</v>
      </c>
    </row>
    <row r="22" spans="1:18" s="1" customFormat="1" ht="18" customHeight="1" x14ac:dyDescent="0.2">
      <c r="A22" s="10"/>
      <c r="B22" s="501" t="s">
        <v>64</v>
      </c>
      <c r="C22" s="504" t="s">
        <v>27</v>
      </c>
      <c r="D22" s="505"/>
      <c r="E22" s="56">
        <f>SUM(E23:E25)</f>
        <v>0</v>
      </c>
      <c r="F22" s="56">
        <f>F23+F24+F25</f>
        <v>3232744</v>
      </c>
      <c r="G22" s="56">
        <f>G23+G24+G25</f>
        <v>7412192</v>
      </c>
      <c r="H22" s="56">
        <f>H23+H24+H25</f>
        <v>10644936</v>
      </c>
      <c r="I22" s="60"/>
      <c r="J22" s="506" t="s">
        <v>47</v>
      </c>
      <c r="K22" s="511" t="s">
        <v>26</v>
      </c>
      <c r="L22" s="511"/>
      <c r="M22" s="56">
        <f>SUM(M23:M25)</f>
        <v>440009956</v>
      </c>
      <c r="N22" s="56">
        <f>N23+N24+N25</f>
        <v>742337331</v>
      </c>
      <c r="O22" s="56">
        <f>O23+O24+O25</f>
        <v>4706918</v>
      </c>
      <c r="P22" s="61">
        <f>P23+P24+P25</f>
        <v>747044249</v>
      </c>
    </row>
    <row r="23" spans="1:18" s="1" customFormat="1" ht="18" customHeight="1" x14ac:dyDescent="0.2">
      <c r="A23" s="10"/>
      <c r="B23" s="502"/>
      <c r="C23" s="62" t="s">
        <v>1</v>
      </c>
      <c r="D23" s="63" t="s">
        <v>7</v>
      </c>
      <c r="E23" s="64">
        <v>0</v>
      </c>
      <c r="F23" s="64">
        <v>3232744</v>
      </c>
      <c r="G23" s="65">
        <v>7412192</v>
      </c>
      <c r="H23" s="66">
        <f>+G23+F23</f>
        <v>10644936</v>
      </c>
      <c r="I23" s="60"/>
      <c r="J23" s="507"/>
      <c r="K23" s="62" t="s">
        <v>1</v>
      </c>
      <c r="L23" s="63" t="s">
        <v>7</v>
      </c>
      <c r="M23" s="64">
        <v>438855456</v>
      </c>
      <c r="N23" s="64">
        <v>739678199</v>
      </c>
      <c r="O23" s="67">
        <v>4706918</v>
      </c>
      <c r="P23" s="66">
        <f>+O23+N23</f>
        <v>744385117</v>
      </c>
    </row>
    <row r="24" spans="1:18" s="1" customFormat="1" ht="18" customHeight="1" x14ac:dyDescent="0.2">
      <c r="A24" s="10"/>
      <c r="B24" s="502"/>
      <c r="C24" s="62" t="s">
        <v>2</v>
      </c>
      <c r="D24" s="63" t="s">
        <v>9</v>
      </c>
      <c r="E24" s="64">
        <v>0</v>
      </c>
      <c r="F24" s="64">
        <v>0</v>
      </c>
      <c r="G24" s="65">
        <v>0</v>
      </c>
      <c r="H24" s="66">
        <f>+G24+F24</f>
        <v>0</v>
      </c>
      <c r="I24" s="60"/>
      <c r="J24" s="507"/>
      <c r="K24" s="62" t="s">
        <v>2</v>
      </c>
      <c r="L24" s="63" t="s">
        <v>9</v>
      </c>
      <c r="M24" s="64">
        <v>1154500</v>
      </c>
      <c r="N24" s="64">
        <v>2659132</v>
      </c>
      <c r="O24" s="67">
        <v>0</v>
      </c>
      <c r="P24" s="66">
        <f t="shared" ref="P24:P35" si="0">+O24+N24</f>
        <v>2659132</v>
      </c>
    </row>
    <row r="25" spans="1:18" s="1" customFormat="1" ht="18" customHeight="1" x14ac:dyDescent="0.2">
      <c r="A25" s="10"/>
      <c r="B25" s="503"/>
      <c r="C25" s="62" t="s">
        <v>4</v>
      </c>
      <c r="D25" s="63" t="s">
        <v>8</v>
      </c>
      <c r="E25" s="64">
        <v>0</v>
      </c>
      <c r="F25" s="64">
        <v>0</v>
      </c>
      <c r="G25" s="65">
        <v>0</v>
      </c>
      <c r="H25" s="66">
        <f>+G25+F25</f>
        <v>0</v>
      </c>
      <c r="I25" s="60"/>
      <c r="J25" s="508"/>
      <c r="K25" s="62" t="s">
        <v>4</v>
      </c>
      <c r="L25" s="63" t="s">
        <v>8</v>
      </c>
      <c r="M25" s="64">
        <v>0</v>
      </c>
      <c r="N25" s="64">
        <v>0</v>
      </c>
      <c r="O25" s="67">
        <v>0</v>
      </c>
      <c r="P25" s="66">
        <f t="shared" si="0"/>
        <v>0</v>
      </c>
    </row>
    <row r="26" spans="1:18" s="1" customFormat="1" ht="18" customHeight="1" x14ac:dyDescent="0.2">
      <c r="A26" s="10"/>
      <c r="B26" s="501" t="s">
        <v>66</v>
      </c>
      <c r="C26" s="509" t="s">
        <v>41</v>
      </c>
      <c r="D26" s="510"/>
      <c r="E26" s="56">
        <f>SUM(E27:E29)</f>
        <v>125443742</v>
      </c>
      <c r="F26" s="56">
        <f>F27+F28+F29</f>
        <v>127384399</v>
      </c>
      <c r="G26" s="56">
        <f>G27+G28+G29</f>
        <v>5805579</v>
      </c>
      <c r="H26" s="56">
        <f>H27+H28+H29</f>
        <v>133189978</v>
      </c>
      <c r="I26" s="60"/>
      <c r="J26" s="506" t="s">
        <v>48</v>
      </c>
      <c r="K26" s="523" t="s">
        <v>6</v>
      </c>
      <c r="L26" s="523"/>
      <c r="M26" s="56">
        <v>0</v>
      </c>
      <c r="N26" s="56">
        <f>N27+N28+N29</f>
        <v>0</v>
      </c>
      <c r="O26" s="56">
        <f>O27+O28+O29</f>
        <v>0</v>
      </c>
      <c r="P26" s="61">
        <f>P27+P28+P29</f>
        <v>0</v>
      </c>
    </row>
    <row r="27" spans="1:18" s="1" customFormat="1" ht="18" customHeight="1" x14ac:dyDescent="0.2">
      <c r="A27" s="10"/>
      <c r="B27" s="502"/>
      <c r="C27" s="62" t="s">
        <v>1</v>
      </c>
      <c r="D27" s="63" t="s">
        <v>7</v>
      </c>
      <c r="E27" s="64">
        <v>125443742</v>
      </c>
      <c r="F27" s="64">
        <v>127384399</v>
      </c>
      <c r="G27" s="105">
        <v>5805579</v>
      </c>
      <c r="H27" s="66">
        <f>+G27+F27</f>
        <v>133189978</v>
      </c>
      <c r="I27" s="60"/>
      <c r="J27" s="507"/>
      <c r="K27" s="62" t="s">
        <v>1</v>
      </c>
      <c r="L27" s="63" t="s">
        <v>7</v>
      </c>
      <c r="M27" s="64">
        <v>0</v>
      </c>
      <c r="N27" s="64">
        <v>0</v>
      </c>
      <c r="O27" s="67">
        <v>0</v>
      </c>
      <c r="P27" s="66">
        <f t="shared" si="0"/>
        <v>0</v>
      </c>
    </row>
    <row r="28" spans="1:18" s="1" customFormat="1" ht="18" customHeight="1" x14ac:dyDescent="0.2">
      <c r="A28" s="10"/>
      <c r="B28" s="502"/>
      <c r="C28" s="62" t="s">
        <v>2</v>
      </c>
      <c r="D28" s="63" t="s">
        <v>9</v>
      </c>
      <c r="E28" s="64">
        <v>0</v>
      </c>
      <c r="F28" s="64">
        <v>0</v>
      </c>
      <c r="G28" s="65">
        <v>0</v>
      </c>
      <c r="H28" s="66">
        <f>+G28+F28</f>
        <v>0</v>
      </c>
      <c r="I28" s="60"/>
      <c r="J28" s="507"/>
      <c r="K28" s="62" t="s">
        <v>2</v>
      </c>
      <c r="L28" s="63" t="s">
        <v>9</v>
      </c>
      <c r="M28" s="64">
        <v>0</v>
      </c>
      <c r="N28" s="64">
        <v>0</v>
      </c>
      <c r="O28" s="67">
        <v>0</v>
      </c>
      <c r="P28" s="66">
        <f t="shared" si="0"/>
        <v>0</v>
      </c>
    </row>
    <row r="29" spans="1:18" s="1" customFormat="1" ht="18" customHeight="1" x14ac:dyDescent="0.2">
      <c r="A29" s="11"/>
      <c r="B29" s="503"/>
      <c r="C29" s="62" t="s">
        <v>4</v>
      </c>
      <c r="D29" s="63" t="s">
        <v>8</v>
      </c>
      <c r="E29" s="64">
        <v>0</v>
      </c>
      <c r="F29" s="64">
        <v>0</v>
      </c>
      <c r="G29" s="65">
        <v>0</v>
      </c>
      <c r="H29" s="66">
        <f>+G29+F29</f>
        <v>0</v>
      </c>
      <c r="I29" s="60"/>
      <c r="J29" s="508"/>
      <c r="K29" s="62" t="s">
        <v>4</v>
      </c>
      <c r="L29" s="63" t="s">
        <v>8</v>
      </c>
      <c r="M29" s="64">
        <v>0</v>
      </c>
      <c r="N29" s="64">
        <v>0</v>
      </c>
      <c r="O29" s="67">
        <v>0</v>
      </c>
      <c r="P29" s="66">
        <f t="shared" si="0"/>
        <v>0</v>
      </c>
    </row>
    <row r="30" spans="1:18" s="1" customFormat="1" ht="18" customHeight="1" x14ac:dyDescent="0.2">
      <c r="A30" s="524"/>
      <c r="B30" s="525"/>
      <c r="C30" s="525"/>
      <c r="D30" s="525"/>
      <c r="E30" s="525"/>
      <c r="F30" s="525"/>
      <c r="G30" s="525"/>
      <c r="H30" s="526"/>
      <c r="I30" s="60"/>
      <c r="J30" s="506" t="s">
        <v>49</v>
      </c>
      <c r="K30" s="511" t="s">
        <v>10</v>
      </c>
      <c r="L30" s="511"/>
      <c r="M30" s="56">
        <f>M31+M34+M35</f>
        <v>37122589</v>
      </c>
      <c r="N30" s="56">
        <f>N31+N34+N35</f>
        <v>1073399131</v>
      </c>
      <c r="O30" s="56">
        <f>O31+O34+O35</f>
        <v>44591623</v>
      </c>
      <c r="P30" s="61">
        <f>P31+P34+P35</f>
        <v>1117990754</v>
      </c>
    </row>
    <row r="31" spans="1:18" s="1" customFormat="1" ht="18" customHeight="1" x14ac:dyDescent="0.2">
      <c r="A31" s="527"/>
      <c r="B31" s="528"/>
      <c r="C31" s="528"/>
      <c r="D31" s="528"/>
      <c r="E31" s="528"/>
      <c r="F31" s="528"/>
      <c r="G31" s="528"/>
      <c r="H31" s="529"/>
      <c r="I31" s="60"/>
      <c r="J31" s="507"/>
      <c r="K31" s="62" t="s">
        <v>1</v>
      </c>
      <c r="L31" s="63" t="s">
        <v>7</v>
      </c>
      <c r="M31" s="64">
        <v>33122589</v>
      </c>
      <c r="N31" s="64">
        <v>1067259131</v>
      </c>
      <c r="O31" s="17">
        <f>2187066+O32+O33</f>
        <v>44591623</v>
      </c>
      <c r="P31" s="66">
        <f t="shared" si="0"/>
        <v>1111850754</v>
      </c>
      <c r="Q31" s="12"/>
      <c r="R31" s="12"/>
    </row>
    <row r="32" spans="1:18" s="1" customFormat="1" ht="18" customHeight="1" x14ac:dyDescent="0.2">
      <c r="A32" s="527"/>
      <c r="B32" s="528"/>
      <c r="C32" s="528"/>
      <c r="D32" s="528"/>
      <c r="E32" s="528"/>
      <c r="F32" s="528"/>
      <c r="G32" s="528"/>
      <c r="H32" s="529"/>
      <c r="I32" s="60"/>
      <c r="J32" s="507"/>
      <c r="K32" s="68" t="s">
        <v>79</v>
      </c>
      <c r="L32" s="69" t="s">
        <v>81</v>
      </c>
      <c r="M32" s="70">
        <v>5000000</v>
      </c>
      <c r="N32" s="70">
        <v>23459323</v>
      </c>
      <c r="O32" s="18">
        <v>14122098</v>
      </c>
      <c r="P32" s="71">
        <f t="shared" si="0"/>
        <v>37581421</v>
      </c>
      <c r="Q32" s="12"/>
      <c r="R32" s="12"/>
    </row>
    <row r="33" spans="1:16" s="1" customFormat="1" ht="18" customHeight="1" x14ac:dyDescent="0.2">
      <c r="A33" s="527"/>
      <c r="B33" s="528"/>
      <c r="C33" s="528"/>
      <c r="D33" s="528"/>
      <c r="E33" s="528"/>
      <c r="F33" s="528"/>
      <c r="G33" s="528"/>
      <c r="H33" s="529"/>
      <c r="I33" s="60"/>
      <c r="J33" s="507"/>
      <c r="K33" s="68" t="s">
        <v>80</v>
      </c>
      <c r="L33" s="69" t="s">
        <v>82</v>
      </c>
      <c r="M33" s="70">
        <v>0</v>
      </c>
      <c r="N33" s="70">
        <v>1015673316</v>
      </c>
      <c r="O33" s="18">
        <v>28282459</v>
      </c>
      <c r="P33" s="71">
        <f t="shared" si="0"/>
        <v>1043955775</v>
      </c>
    </row>
    <row r="34" spans="1:16" s="1" customFormat="1" ht="18" customHeight="1" x14ac:dyDescent="0.2">
      <c r="A34" s="527"/>
      <c r="B34" s="528"/>
      <c r="C34" s="528"/>
      <c r="D34" s="528"/>
      <c r="E34" s="528"/>
      <c r="F34" s="528"/>
      <c r="G34" s="528"/>
      <c r="H34" s="529"/>
      <c r="I34" s="60"/>
      <c r="J34" s="507"/>
      <c r="K34" s="62" t="s">
        <v>2</v>
      </c>
      <c r="L34" s="63" t="s">
        <v>9</v>
      </c>
      <c r="M34" s="64">
        <v>4000000</v>
      </c>
      <c r="N34" s="64">
        <v>6140000</v>
      </c>
      <c r="O34" s="67">
        <v>0</v>
      </c>
      <c r="P34" s="66">
        <f t="shared" si="0"/>
        <v>6140000</v>
      </c>
    </row>
    <row r="35" spans="1:16" s="1" customFormat="1" ht="18" customHeight="1" x14ac:dyDescent="0.2">
      <c r="A35" s="530"/>
      <c r="B35" s="531"/>
      <c r="C35" s="531"/>
      <c r="D35" s="531"/>
      <c r="E35" s="531"/>
      <c r="F35" s="531"/>
      <c r="G35" s="531"/>
      <c r="H35" s="532"/>
      <c r="I35" s="72"/>
      <c r="J35" s="508"/>
      <c r="K35" s="62" t="s">
        <v>4</v>
      </c>
      <c r="L35" s="63" t="s">
        <v>8</v>
      </c>
      <c r="M35" s="64">
        <v>0</v>
      </c>
      <c r="N35" s="64">
        <v>0</v>
      </c>
      <c r="O35" s="67">
        <v>0</v>
      </c>
      <c r="P35" s="66">
        <f t="shared" si="0"/>
        <v>0</v>
      </c>
    </row>
    <row r="36" spans="1:16" s="1" customFormat="1" ht="18" customHeight="1" x14ac:dyDescent="0.2">
      <c r="A36" s="138" t="s">
        <v>0</v>
      </c>
      <c r="B36" s="492" t="s">
        <v>19</v>
      </c>
      <c r="C36" s="493"/>
      <c r="D36" s="494"/>
      <c r="E36" s="139">
        <f>+E37+E38+E39</f>
        <v>739129598</v>
      </c>
      <c r="F36" s="139">
        <f>+F37+F38+F39</f>
        <v>2161482205</v>
      </c>
      <c r="G36" s="139">
        <f>+G37+G38+G39</f>
        <v>56270017</v>
      </c>
      <c r="H36" s="139">
        <f>+H37+H38+H39</f>
        <v>2217752222</v>
      </c>
      <c r="I36" s="140" t="s">
        <v>0</v>
      </c>
      <c r="J36" s="533" t="s">
        <v>14</v>
      </c>
      <c r="K36" s="534"/>
      <c r="L36" s="534"/>
      <c r="M36" s="141">
        <f>SUM(M37:M39)</f>
        <v>611401831</v>
      </c>
      <c r="N36" s="141">
        <f>+N37+N38+N39</f>
        <v>2106292790</v>
      </c>
      <c r="O36" s="141">
        <f>+O37+O38+O39</f>
        <v>62137376</v>
      </c>
      <c r="P36" s="142">
        <f>+P37+P38+P39</f>
        <v>2168430166</v>
      </c>
    </row>
    <row r="37" spans="1:16" s="1" customFormat="1" ht="18" customHeight="1" x14ac:dyDescent="0.2">
      <c r="A37" s="143"/>
      <c r="B37" s="535" t="s">
        <v>69</v>
      </c>
      <c r="C37" s="144" t="s">
        <v>1</v>
      </c>
      <c r="D37" s="145" t="s">
        <v>7</v>
      </c>
      <c r="E37" s="146">
        <f>E15+E19+E23+E27</f>
        <v>739129598</v>
      </c>
      <c r="F37" s="147">
        <f t="shared" ref="F37:H39" si="1">+F27+F23+F19+F15</f>
        <v>2161482205</v>
      </c>
      <c r="G37" s="147">
        <f t="shared" si="1"/>
        <v>56270017</v>
      </c>
      <c r="H37" s="147">
        <f t="shared" si="1"/>
        <v>2217752222</v>
      </c>
      <c r="I37" s="498"/>
      <c r="J37" s="538" t="s">
        <v>68</v>
      </c>
      <c r="K37" s="144" t="s">
        <v>1</v>
      </c>
      <c r="L37" s="145" t="s">
        <v>7</v>
      </c>
      <c r="M37" s="148">
        <f>M15+M19+M23+M27+M31</f>
        <v>606134331</v>
      </c>
      <c r="N37" s="148">
        <f>+N31+N27+N23+N19+N15</f>
        <v>2091240055</v>
      </c>
      <c r="O37" s="148">
        <f>+O31+O27+O23+O19+O15</f>
        <v>62137376</v>
      </c>
      <c r="P37" s="149">
        <f>+P31+P27+P23+P19+P15</f>
        <v>2153377431</v>
      </c>
    </row>
    <row r="38" spans="1:16" s="1" customFormat="1" ht="18" customHeight="1" x14ac:dyDescent="0.2">
      <c r="A38" s="143"/>
      <c r="B38" s="536"/>
      <c r="C38" s="144" t="s">
        <v>2</v>
      </c>
      <c r="D38" s="145" t="s">
        <v>9</v>
      </c>
      <c r="E38" s="150">
        <v>0</v>
      </c>
      <c r="F38" s="147">
        <f t="shared" si="1"/>
        <v>0</v>
      </c>
      <c r="G38" s="147">
        <f t="shared" si="1"/>
        <v>0</v>
      </c>
      <c r="H38" s="147">
        <f t="shared" si="1"/>
        <v>0</v>
      </c>
      <c r="I38" s="498"/>
      <c r="J38" s="538"/>
      <c r="K38" s="144" t="s">
        <v>2</v>
      </c>
      <c r="L38" s="145" t="s">
        <v>9</v>
      </c>
      <c r="M38" s="148">
        <f>M16+M20+M24+M28+M34</f>
        <v>5267500</v>
      </c>
      <c r="N38" s="148">
        <f t="shared" ref="N38:P39" si="2">+N34+N28+N24+N20+N16</f>
        <v>15052735</v>
      </c>
      <c r="O38" s="148">
        <f t="shared" si="2"/>
        <v>0</v>
      </c>
      <c r="P38" s="149">
        <f t="shared" si="2"/>
        <v>15052735</v>
      </c>
    </row>
    <row r="39" spans="1:16" s="1" customFormat="1" ht="18" customHeight="1" x14ac:dyDescent="0.2">
      <c r="A39" s="151"/>
      <c r="B39" s="537"/>
      <c r="C39" s="144" t="s">
        <v>4</v>
      </c>
      <c r="D39" s="145" t="s">
        <v>8</v>
      </c>
      <c r="E39" s="150">
        <v>0</v>
      </c>
      <c r="F39" s="147">
        <f t="shared" si="1"/>
        <v>0</v>
      </c>
      <c r="G39" s="147">
        <f t="shared" si="1"/>
        <v>0</v>
      </c>
      <c r="H39" s="147">
        <f t="shared" si="1"/>
        <v>0</v>
      </c>
      <c r="I39" s="499"/>
      <c r="J39" s="538"/>
      <c r="K39" s="144" t="s">
        <v>4</v>
      </c>
      <c r="L39" s="145" t="s">
        <v>8</v>
      </c>
      <c r="M39" s="152">
        <v>0</v>
      </c>
      <c r="N39" s="152">
        <f t="shared" si="2"/>
        <v>0</v>
      </c>
      <c r="O39" s="152">
        <f t="shared" si="2"/>
        <v>0</v>
      </c>
      <c r="P39" s="153">
        <f t="shared" si="2"/>
        <v>0</v>
      </c>
    </row>
    <row r="40" spans="1:16" s="359" customFormat="1" ht="30.75" customHeight="1" thickBot="1" x14ac:dyDescent="0.25">
      <c r="A40" s="480" t="s">
        <v>83</v>
      </c>
      <c r="B40" s="481"/>
      <c r="C40" s="481"/>
      <c r="D40" s="482"/>
      <c r="E40" s="354"/>
      <c r="F40" s="355"/>
      <c r="G40" s="355">
        <f>O36-G36</f>
        <v>5867359</v>
      </c>
      <c r="H40" s="356"/>
      <c r="I40" s="480" t="s">
        <v>84</v>
      </c>
      <c r="J40" s="481"/>
      <c r="K40" s="481"/>
      <c r="L40" s="482"/>
      <c r="M40" s="357">
        <f>E36-M36</f>
        <v>127727767</v>
      </c>
      <c r="N40" s="357">
        <f>F36-N36</f>
        <v>55189415</v>
      </c>
      <c r="O40" s="357"/>
      <c r="P40" s="358">
        <f>H36-P36</f>
        <v>49322056</v>
      </c>
    </row>
    <row r="41" spans="1:16" s="1" customFormat="1" ht="18" customHeight="1" x14ac:dyDescent="0.2">
      <c r="A41" s="512" t="s">
        <v>40</v>
      </c>
      <c r="B41" s="513"/>
      <c r="C41" s="513"/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13"/>
      <c r="O41" s="513"/>
      <c r="P41" s="514"/>
    </row>
    <row r="42" spans="1:16" s="1" customFormat="1" ht="18" customHeight="1" x14ac:dyDescent="0.2">
      <c r="A42" s="9" t="s">
        <v>3</v>
      </c>
      <c r="B42" s="515" t="s">
        <v>20</v>
      </c>
      <c r="C42" s="516"/>
      <c r="D42" s="517"/>
      <c r="E42" s="56">
        <f>E43+E47+E51</f>
        <v>1896800</v>
      </c>
      <c r="F42" s="56">
        <f>F43+F47+F51</f>
        <v>54010249</v>
      </c>
      <c r="G42" s="56">
        <f>G43+G47+G51</f>
        <v>7360039</v>
      </c>
      <c r="H42" s="56">
        <f>H43+H47+H51</f>
        <v>61370288</v>
      </c>
      <c r="I42" s="73" t="s">
        <v>3</v>
      </c>
      <c r="J42" s="518" t="s">
        <v>18</v>
      </c>
      <c r="K42" s="519"/>
      <c r="L42" s="520"/>
      <c r="M42" s="58">
        <f>M43+M47+M51</f>
        <v>37389322</v>
      </c>
      <c r="N42" s="58">
        <f>N43+N47+N51</f>
        <v>126131771</v>
      </c>
      <c r="O42" s="74">
        <f>O43+O47+O51</f>
        <v>-1002749</v>
      </c>
      <c r="P42" s="59">
        <f>P43+P47+P51</f>
        <v>125129022</v>
      </c>
    </row>
    <row r="43" spans="1:16" s="1" customFormat="1" ht="18" customHeight="1" x14ac:dyDescent="0.2">
      <c r="A43" s="10"/>
      <c r="B43" s="501" t="s">
        <v>62</v>
      </c>
      <c r="C43" s="521" t="s">
        <v>93</v>
      </c>
      <c r="D43" s="522"/>
      <c r="E43" s="56">
        <f>SUM(E44:E46)</f>
        <v>0</v>
      </c>
      <c r="F43" s="56">
        <f>F44+F45+F46</f>
        <v>52113449</v>
      </c>
      <c r="G43" s="56">
        <f>G44+G45+G46</f>
        <v>6402251</v>
      </c>
      <c r="H43" s="56">
        <f>H44+H45+H46</f>
        <v>58515700</v>
      </c>
      <c r="I43" s="60"/>
      <c r="J43" s="506" t="s">
        <v>51</v>
      </c>
      <c r="K43" s="509" t="s">
        <v>11</v>
      </c>
      <c r="L43" s="510"/>
      <c r="M43" s="56">
        <f>SUM(M44:M46)</f>
        <v>37389322</v>
      </c>
      <c r="N43" s="56">
        <f>N44+N45+N46</f>
        <v>113846671</v>
      </c>
      <c r="O43" s="75">
        <f>O44+O45+O46</f>
        <v>-1000000</v>
      </c>
      <c r="P43" s="61">
        <f>P44+P45+P46</f>
        <v>112846671</v>
      </c>
    </row>
    <row r="44" spans="1:16" s="1" customFormat="1" ht="18" customHeight="1" x14ac:dyDescent="0.2">
      <c r="A44" s="10"/>
      <c r="B44" s="502"/>
      <c r="C44" s="62" t="s">
        <v>1</v>
      </c>
      <c r="D44" s="63" t="s">
        <v>7</v>
      </c>
      <c r="E44" s="64">
        <v>0</v>
      </c>
      <c r="F44" s="64">
        <v>52113449</v>
      </c>
      <c r="G44" s="65">
        <v>6402251</v>
      </c>
      <c r="H44" s="66">
        <f>+G44+F44</f>
        <v>58515700</v>
      </c>
      <c r="I44" s="60"/>
      <c r="J44" s="507"/>
      <c r="K44" s="62" t="s">
        <v>1</v>
      </c>
      <c r="L44" s="63" t="s">
        <v>7</v>
      </c>
      <c r="M44" s="64">
        <v>37389322</v>
      </c>
      <c r="N44" s="64">
        <v>113846671</v>
      </c>
      <c r="O44" s="67">
        <v>-1000000</v>
      </c>
      <c r="P44" s="66">
        <f>+O44+N44</f>
        <v>112846671</v>
      </c>
    </row>
    <row r="45" spans="1:16" s="1" customFormat="1" ht="18" customHeight="1" x14ac:dyDescent="0.2">
      <c r="A45" s="10"/>
      <c r="B45" s="502"/>
      <c r="C45" s="62" t="s">
        <v>2</v>
      </c>
      <c r="D45" s="63" t="s">
        <v>9</v>
      </c>
      <c r="E45" s="64">
        <v>0</v>
      </c>
      <c r="F45" s="64">
        <v>0</v>
      </c>
      <c r="G45" s="65">
        <v>0</v>
      </c>
      <c r="H45" s="66">
        <f>+G45+F45</f>
        <v>0</v>
      </c>
      <c r="I45" s="60"/>
      <c r="J45" s="507"/>
      <c r="K45" s="62" t="s">
        <v>2</v>
      </c>
      <c r="L45" s="63" t="s">
        <v>9</v>
      </c>
      <c r="M45" s="64">
        <v>0</v>
      </c>
      <c r="N45" s="64">
        <v>0</v>
      </c>
      <c r="O45" s="67">
        <v>0</v>
      </c>
      <c r="P45" s="66">
        <f>+O45+N45</f>
        <v>0</v>
      </c>
    </row>
    <row r="46" spans="1:16" s="1" customFormat="1" ht="18" customHeight="1" x14ac:dyDescent="0.2">
      <c r="A46" s="10"/>
      <c r="B46" s="503"/>
      <c r="C46" s="62" t="s">
        <v>4</v>
      </c>
      <c r="D46" s="63" t="s">
        <v>8</v>
      </c>
      <c r="E46" s="64">
        <v>0</v>
      </c>
      <c r="F46" s="64">
        <v>0</v>
      </c>
      <c r="G46" s="65">
        <v>0</v>
      </c>
      <c r="H46" s="66">
        <f>+G46+F46</f>
        <v>0</v>
      </c>
      <c r="I46" s="60"/>
      <c r="J46" s="508"/>
      <c r="K46" s="62" t="s">
        <v>4</v>
      </c>
      <c r="L46" s="63" t="s">
        <v>8</v>
      </c>
      <c r="M46" s="64">
        <v>0</v>
      </c>
      <c r="N46" s="64">
        <v>0</v>
      </c>
      <c r="O46" s="67">
        <v>0</v>
      </c>
      <c r="P46" s="66">
        <f>+O46+N46</f>
        <v>0</v>
      </c>
    </row>
    <row r="47" spans="1:16" s="1" customFormat="1" ht="18" customHeight="1" x14ac:dyDescent="0.2">
      <c r="A47" s="10"/>
      <c r="B47" s="501" t="s">
        <v>65</v>
      </c>
      <c r="C47" s="504" t="s">
        <v>21</v>
      </c>
      <c r="D47" s="505"/>
      <c r="E47" s="56">
        <f>SUM(E48:E50)</f>
        <v>0</v>
      </c>
      <c r="F47" s="56">
        <f>F48+F49+F50</f>
        <v>0</v>
      </c>
      <c r="G47" s="56">
        <f>G48+G49+G50</f>
        <v>641739</v>
      </c>
      <c r="H47" s="56">
        <f>H48+H49+H50</f>
        <v>641739</v>
      </c>
      <c r="I47" s="60"/>
      <c r="J47" s="506" t="s">
        <v>52</v>
      </c>
      <c r="K47" s="504" t="s">
        <v>12</v>
      </c>
      <c r="L47" s="505"/>
      <c r="M47" s="56">
        <f>SUM(M48:M50)</f>
        <v>0</v>
      </c>
      <c r="N47" s="56">
        <f>N48+N49+N50</f>
        <v>12285100</v>
      </c>
      <c r="O47" s="56">
        <f>O48+O49+O50</f>
        <v>-2749</v>
      </c>
      <c r="P47" s="61">
        <f>P48+P49+P50</f>
        <v>12282351</v>
      </c>
    </row>
    <row r="48" spans="1:16" s="1" customFormat="1" ht="18" customHeight="1" x14ac:dyDescent="0.2">
      <c r="A48" s="10"/>
      <c r="B48" s="502"/>
      <c r="C48" s="62" t="s">
        <v>1</v>
      </c>
      <c r="D48" s="63" t="s">
        <v>7</v>
      </c>
      <c r="E48" s="64">
        <v>0</v>
      </c>
      <c r="F48" s="64">
        <v>0</v>
      </c>
      <c r="G48" s="65">
        <v>641739</v>
      </c>
      <c r="H48" s="66">
        <f>+G48+F48</f>
        <v>641739</v>
      </c>
      <c r="I48" s="60"/>
      <c r="J48" s="507"/>
      <c r="K48" s="62" t="s">
        <v>1</v>
      </c>
      <c r="L48" s="63" t="s">
        <v>7</v>
      </c>
      <c r="M48" s="64">
        <v>0</v>
      </c>
      <c r="N48" s="64">
        <v>12285100</v>
      </c>
      <c r="O48" s="67">
        <v>-2749</v>
      </c>
      <c r="P48" s="66">
        <f>+O48+N48</f>
        <v>12282351</v>
      </c>
    </row>
    <row r="49" spans="1:18" s="1" customFormat="1" ht="18" customHeight="1" x14ac:dyDescent="0.2">
      <c r="A49" s="10"/>
      <c r="B49" s="502"/>
      <c r="C49" s="62" t="s">
        <v>2</v>
      </c>
      <c r="D49" s="63" t="s">
        <v>9</v>
      </c>
      <c r="E49" s="64">
        <v>0</v>
      </c>
      <c r="F49" s="64">
        <v>0</v>
      </c>
      <c r="G49" s="65">
        <v>0</v>
      </c>
      <c r="H49" s="66">
        <f>+G49+F49</f>
        <v>0</v>
      </c>
      <c r="I49" s="60"/>
      <c r="J49" s="507"/>
      <c r="K49" s="62" t="s">
        <v>2</v>
      </c>
      <c r="L49" s="63" t="s">
        <v>9</v>
      </c>
      <c r="M49" s="64">
        <v>0</v>
      </c>
      <c r="N49" s="64">
        <v>0</v>
      </c>
      <c r="O49" s="67">
        <v>0</v>
      </c>
      <c r="P49" s="66">
        <f>+O49+N49</f>
        <v>0</v>
      </c>
    </row>
    <row r="50" spans="1:18" s="1" customFormat="1" ht="18" customHeight="1" x14ac:dyDescent="0.2">
      <c r="A50" s="10"/>
      <c r="B50" s="503"/>
      <c r="C50" s="62" t="s">
        <v>4</v>
      </c>
      <c r="D50" s="63" t="s">
        <v>8</v>
      </c>
      <c r="E50" s="64">
        <v>0</v>
      </c>
      <c r="F50" s="64">
        <v>0</v>
      </c>
      <c r="G50" s="65">
        <v>0</v>
      </c>
      <c r="H50" s="66">
        <f>+G50+F50</f>
        <v>0</v>
      </c>
      <c r="I50" s="60"/>
      <c r="J50" s="508"/>
      <c r="K50" s="62" t="s">
        <v>4</v>
      </c>
      <c r="L50" s="63" t="s">
        <v>8</v>
      </c>
      <c r="M50" s="64">
        <v>0</v>
      </c>
      <c r="N50" s="64">
        <v>0</v>
      </c>
      <c r="O50" s="67">
        <v>0</v>
      </c>
      <c r="P50" s="66">
        <f>+O50+N50</f>
        <v>0</v>
      </c>
    </row>
    <row r="51" spans="1:18" s="1" customFormat="1" ht="18" customHeight="1" x14ac:dyDescent="0.2">
      <c r="A51" s="10"/>
      <c r="B51" s="501" t="s">
        <v>67</v>
      </c>
      <c r="C51" s="509" t="s">
        <v>43</v>
      </c>
      <c r="D51" s="510"/>
      <c r="E51" s="56">
        <f>SUM(E52:E54)</f>
        <v>1896800</v>
      </c>
      <c r="F51" s="56">
        <f>F52+F53+F54</f>
        <v>1896800</v>
      </c>
      <c r="G51" s="56">
        <f>G52+G53+G54</f>
        <v>316049</v>
      </c>
      <c r="H51" s="56">
        <f>H52+H53+H54</f>
        <v>2212849</v>
      </c>
      <c r="I51" s="60"/>
      <c r="J51" s="506" t="s">
        <v>53</v>
      </c>
      <c r="K51" s="511" t="s">
        <v>54</v>
      </c>
      <c r="L51" s="511"/>
      <c r="M51" s="56">
        <f>SUM(M52:M54)</f>
        <v>0</v>
      </c>
      <c r="N51" s="56">
        <f>N52+N53+N54</f>
        <v>0</v>
      </c>
      <c r="O51" s="56">
        <f>O52+O53+O54</f>
        <v>0</v>
      </c>
      <c r="P51" s="61">
        <f>P52+P53+P54</f>
        <v>0</v>
      </c>
    </row>
    <row r="52" spans="1:18" s="1" customFormat="1" ht="18" customHeight="1" x14ac:dyDescent="0.2">
      <c r="A52" s="10"/>
      <c r="B52" s="502"/>
      <c r="C52" s="62" t="s">
        <v>1</v>
      </c>
      <c r="D52" s="63" t="s">
        <v>7</v>
      </c>
      <c r="E52" s="64">
        <v>1896800</v>
      </c>
      <c r="F52" s="64">
        <v>1896800</v>
      </c>
      <c r="G52" s="65">
        <v>316049</v>
      </c>
      <c r="H52" s="66">
        <f>+G52+F52</f>
        <v>2212849</v>
      </c>
      <c r="I52" s="60"/>
      <c r="J52" s="507"/>
      <c r="K52" s="62" t="s">
        <v>1</v>
      </c>
      <c r="L52" s="63" t="s">
        <v>7</v>
      </c>
      <c r="M52" s="64">
        <v>0</v>
      </c>
      <c r="N52" s="64">
        <v>0</v>
      </c>
      <c r="O52" s="67">
        <v>0</v>
      </c>
      <c r="P52" s="66">
        <f>+O52+N52</f>
        <v>0</v>
      </c>
    </row>
    <row r="53" spans="1:18" s="1" customFormat="1" ht="18" customHeight="1" x14ac:dyDescent="0.2">
      <c r="A53" s="10"/>
      <c r="B53" s="502"/>
      <c r="C53" s="62" t="s">
        <v>2</v>
      </c>
      <c r="D53" s="63" t="s">
        <v>9</v>
      </c>
      <c r="E53" s="64">
        <v>0</v>
      </c>
      <c r="F53" s="64">
        <v>0</v>
      </c>
      <c r="G53" s="65">
        <v>0</v>
      </c>
      <c r="H53" s="66">
        <f>+G53+F53</f>
        <v>0</v>
      </c>
      <c r="I53" s="60"/>
      <c r="J53" s="507"/>
      <c r="K53" s="62" t="s">
        <v>2</v>
      </c>
      <c r="L53" s="63" t="s">
        <v>9</v>
      </c>
      <c r="M53" s="64">
        <v>0</v>
      </c>
      <c r="N53" s="64">
        <v>0</v>
      </c>
      <c r="O53" s="67">
        <v>0</v>
      </c>
      <c r="P53" s="66">
        <f>+O53+N53</f>
        <v>0</v>
      </c>
    </row>
    <row r="54" spans="1:18" s="1" customFormat="1" ht="18" customHeight="1" x14ac:dyDescent="0.2">
      <c r="A54" s="11"/>
      <c r="B54" s="503"/>
      <c r="C54" s="62" t="s">
        <v>4</v>
      </c>
      <c r="D54" s="63" t="s">
        <v>8</v>
      </c>
      <c r="E54" s="64">
        <v>0</v>
      </c>
      <c r="F54" s="64">
        <v>0</v>
      </c>
      <c r="G54" s="65">
        <v>0</v>
      </c>
      <c r="H54" s="66">
        <f>+G54+F54</f>
        <v>0</v>
      </c>
      <c r="I54" s="72"/>
      <c r="J54" s="508"/>
      <c r="K54" s="62" t="s">
        <v>4</v>
      </c>
      <c r="L54" s="63" t="s">
        <v>8</v>
      </c>
      <c r="M54" s="64">
        <v>0</v>
      </c>
      <c r="N54" s="64">
        <v>0</v>
      </c>
      <c r="O54" s="67">
        <v>0</v>
      </c>
      <c r="P54" s="66">
        <f>+O54+N54</f>
        <v>0</v>
      </c>
    </row>
    <row r="55" spans="1:18" s="1" customFormat="1" ht="18" customHeight="1" x14ac:dyDescent="0.2">
      <c r="A55" s="154" t="s">
        <v>3</v>
      </c>
      <c r="B55" s="483" t="s">
        <v>22</v>
      </c>
      <c r="C55" s="484"/>
      <c r="D55" s="485"/>
      <c r="E55" s="141">
        <f>SUM(E56:E58)</f>
        <v>1896800</v>
      </c>
      <c r="F55" s="141">
        <f>F56+F57+F58</f>
        <v>54010249</v>
      </c>
      <c r="G55" s="141">
        <f>G56+G57+G58</f>
        <v>7360039</v>
      </c>
      <c r="H55" s="141">
        <f>H56+H57+H58</f>
        <v>61370288</v>
      </c>
      <c r="I55" s="155" t="s">
        <v>3</v>
      </c>
      <c r="J55" s="483" t="s">
        <v>15</v>
      </c>
      <c r="K55" s="484"/>
      <c r="L55" s="485"/>
      <c r="M55" s="141">
        <f>SUM(M56:M58)</f>
        <v>37389322</v>
      </c>
      <c r="N55" s="141">
        <f>N56+N57+N58</f>
        <v>126131771</v>
      </c>
      <c r="O55" s="141">
        <f>O56+O57+O58</f>
        <v>-1002749</v>
      </c>
      <c r="P55" s="142">
        <f>P56+P57+P58</f>
        <v>125129022</v>
      </c>
    </row>
    <row r="56" spans="1:18" s="1" customFormat="1" ht="18" customHeight="1" x14ac:dyDescent="0.2">
      <c r="A56" s="143"/>
      <c r="B56" s="486" t="s">
        <v>70</v>
      </c>
      <c r="C56" s="144" t="s">
        <v>1</v>
      </c>
      <c r="D56" s="145" t="s">
        <v>7</v>
      </c>
      <c r="E56" s="148">
        <f>E44+E48+E52</f>
        <v>1896800</v>
      </c>
      <c r="F56" s="148">
        <f t="shared" ref="F56:H58" si="3">F44+F48+F52</f>
        <v>54010249</v>
      </c>
      <c r="G56" s="148">
        <f>G44+G48+G52</f>
        <v>7360039</v>
      </c>
      <c r="H56" s="148">
        <f t="shared" si="3"/>
        <v>61370288</v>
      </c>
      <c r="I56" s="156"/>
      <c r="J56" s="488" t="s">
        <v>55</v>
      </c>
      <c r="K56" s="144" t="s">
        <v>1</v>
      </c>
      <c r="L56" s="145" t="s">
        <v>7</v>
      </c>
      <c r="M56" s="148">
        <f>M44+M48+M52</f>
        <v>37389322</v>
      </c>
      <c r="N56" s="148">
        <f t="shared" ref="N56:P58" si="4">N44+N48+N52</f>
        <v>126131771</v>
      </c>
      <c r="O56" s="148">
        <f t="shared" si="4"/>
        <v>-1002749</v>
      </c>
      <c r="P56" s="149">
        <f t="shared" si="4"/>
        <v>125129022</v>
      </c>
    </row>
    <row r="57" spans="1:18" s="1" customFormat="1" ht="18" customHeight="1" x14ac:dyDescent="0.2">
      <c r="A57" s="143"/>
      <c r="B57" s="487"/>
      <c r="C57" s="144" t="s">
        <v>2</v>
      </c>
      <c r="D57" s="145" t="s">
        <v>9</v>
      </c>
      <c r="E57" s="148">
        <f>E45+E49+E53</f>
        <v>0</v>
      </c>
      <c r="F57" s="148">
        <f t="shared" si="3"/>
        <v>0</v>
      </c>
      <c r="G57" s="148">
        <f t="shared" si="3"/>
        <v>0</v>
      </c>
      <c r="H57" s="148">
        <f t="shared" si="3"/>
        <v>0</v>
      </c>
      <c r="I57" s="156"/>
      <c r="J57" s="488"/>
      <c r="K57" s="144" t="s">
        <v>2</v>
      </c>
      <c r="L57" s="145" t="s">
        <v>9</v>
      </c>
      <c r="M57" s="148">
        <v>0</v>
      </c>
      <c r="N57" s="148">
        <f t="shared" si="4"/>
        <v>0</v>
      </c>
      <c r="O57" s="148">
        <f t="shared" si="4"/>
        <v>0</v>
      </c>
      <c r="P57" s="149">
        <f t="shared" si="4"/>
        <v>0</v>
      </c>
    </row>
    <row r="58" spans="1:18" s="1" customFormat="1" ht="18" customHeight="1" x14ac:dyDescent="0.2">
      <c r="A58" s="143"/>
      <c r="B58" s="487"/>
      <c r="C58" s="157" t="s">
        <v>4</v>
      </c>
      <c r="D58" s="158" t="s">
        <v>8</v>
      </c>
      <c r="E58" s="148">
        <f>E46+E50+E54</f>
        <v>0</v>
      </c>
      <c r="F58" s="148">
        <f t="shared" si="3"/>
        <v>0</v>
      </c>
      <c r="G58" s="148">
        <f t="shared" si="3"/>
        <v>0</v>
      </c>
      <c r="H58" s="148">
        <f t="shared" si="3"/>
        <v>0</v>
      </c>
      <c r="I58" s="156"/>
      <c r="J58" s="489"/>
      <c r="K58" s="157" t="s">
        <v>4</v>
      </c>
      <c r="L58" s="158" t="s">
        <v>8</v>
      </c>
      <c r="M58" s="152">
        <f>M46+M50+M54</f>
        <v>0</v>
      </c>
      <c r="N58" s="152">
        <f t="shared" si="4"/>
        <v>0</v>
      </c>
      <c r="O58" s="152">
        <f t="shared" si="4"/>
        <v>0</v>
      </c>
      <c r="P58" s="153">
        <f t="shared" si="4"/>
        <v>0</v>
      </c>
    </row>
    <row r="59" spans="1:18" s="364" customFormat="1" ht="31.5" customHeight="1" thickBot="1" x14ac:dyDescent="0.25">
      <c r="A59" s="490" t="s">
        <v>85</v>
      </c>
      <c r="B59" s="491"/>
      <c r="C59" s="491"/>
      <c r="D59" s="491"/>
      <c r="E59" s="361">
        <f>M55-E55</f>
        <v>35492522</v>
      </c>
      <c r="F59" s="357">
        <f>N55-F55</f>
        <v>72121522</v>
      </c>
      <c r="G59" s="357"/>
      <c r="H59" s="357">
        <f>P55-H55</f>
        <v>63758734</v>
      </c>
      <c r="I59" s="490" t="s">
        <v>86</v>
      </c>
      <c r="J59" s="491"/>
      <c r="K59" s="491"/>
      <c r="L59" s="491"/>
      <c r="M59" s="360"/>
      <c r="N59" s="362"/>
      <c r="O59" s="363">
        <f>G55-O55</f>
        <v>8362788</v>
      </c>
      <c r="P59" s="358"/>
      <c r="R59" s="365"/>
    </row>
    <row r="60" spans="1:18" s="1" customFormat="1" ht="18" customHeight="1" x14ac:dyDescent="0.2">
      <c r="A60" s="138" t="s">
        <v>29</v>
      </c>
      <c r="B60" s="492" t="s">
        <v>30</v>
      </c>
      <c r="C60" s="493"/>
      <c r="D60" s="494"/>
      <c r="E60" s="159">
        <f>SUM(E61:E63)</f>
        <v>741026398</v>
      </c>
      <c r="F60" s="159">
        <f>F61+F62+F63</f>
        <v>2215492454</v>
      </c>
      <c r="G60" s="159">
        <f>G61+G62+G63</f>
        <v>63630056</v>
      </c>
      <c r="H60" s="159">
        <f>H61+H62+H63</f>
        <v>2279122510</v>
      </c>
      <c r="I60" s="160" t="s">
        <v>29</v>
      </c>
      <c r="J60" s="495" t="s">
        <v>32</v>
      </c>
      <c r="K60" s="496"/>
      <c r="L60" s="496"/>
      <c r="M60" s="161">
        <f>SUM(M61:M63)</f>
        <v>648791153</v>
      </c>
      <c r="N60" s="161">
        <f>N61+N62+N63</f>
        <v>2232424561</v>
      </c>
      <c r="O60" s="161">
        <f>O61+O62+O63</f>
        <v>61134627</v>
      </c>
      <c r="P60" s="162">
        <f>P61+P62+P63</f>
        <v>2293559188</v>
      </c>
    </row>
    <row r="61" spans="1:18" s="1" customFormat="1" ht="18" customHeight="1" x14ac:dyDescent="0.2">
      <c r="A61" s="143"/>
      <c r="B61" s="465" t="s">
        <v>72</v>
      </c>
      <c r="C61" s="144" t="s">
        <v>1</v>
      </c>
      <c r="D61" s="145" t="s">
        <v>7</v>
      </c>
      <c r="E61" s="152">
        <f>E37+E56</f>
        <v>741026398</v>
      </c>
      <c r="F61" s="152">
        <f>F37+F56</f>
        <v>2215492454</v>
      </c>
      <c r="G61" s="152">
        <f t="shared" ref="G61:H63" si="5">G37+G56</f>
        <v>63630056</v>
      </c>
      <c r="H61" s="152">
        <f t="shared" si="5"/>
        <v>2279122510</v>
      </c>
      <c r="I61" s="498"/>
      <c r="J61" s="500" t="s">
        <v>71</v>
      </c>
      <c r="K61" s="144" t="s">
        <v>1</v>
      </c>
      <c r="L61" s="145" t="s">
        <v>7</v>
      </c>
      <c r="M61" s="152">
        <f>M37+M56</f>
        <v>643523653</v>
      </c>
      <c r="N61" s="152">
        <f t="shared" ref="N61:P63" si="6">N37+N56</f>
        <v>2217371826</v>
      </c>
      <c r="O61" s="152">
        <f t="shared" si="6"/>
        <v>61134627</v>
      </c>
      <c r="P61" s="153">
        <f t="shared" si="6"/>
        <v>2278506453</v>
      </c>
    </row>
    <row r="62" spans="1:18" s="1" customFormat="1" ht="18" customHeight="1" x14ac:dyDescent="0.2">
      <c r="A62" s="143"/>
      <c r="B62" s="466"/>
      <c r="C62" s="144" t="s">
        <v>2</v>
      </c>
      <c r="D62" s="145" t="s">
        <v>9</v>
      </c>
      <c r="E62" s="152">
        <v>0</v>
      </c>
      <c r="F62" s="152">
        <f>F38+F57</f>
        <v>0</v>
      </c>
      <c r="G62" s="152">
        <f t="shared" si="5"/>
        <v>0</v>
      </c>
      <c r="H62" s="152">
        <f t="shared" si="5"/>
        <v>0</v>
      </c>
      <c r="I62" s="498"/>
      <c r="J62" s="500"/>
      <c r="K62" s="144" t="s">
        <v>2</v>
      </c>
      <c r="L62" s="145" t="s">
        <v>9</v>
      </c>
      <c r="M62" s="152">
        <f>M38+M57</f>
        <v>5267500</v>
      </c>
      <c r="N62" s="152">
        <f t="shared" si="6"/>
        <v>15052735</v>
      </c>
      <c r="O62" s="152">
        <f t="shared" si="6"/>
        <v>0</v>
      </c>
      <c r="P62" s="153">
        <f t="shared" si="6"/>
        <v>15052735</v>
      </c>
    </row>
    <row r="63" spans="1:18" s="1" customFormat="1" ht="18" customHeight="1" x14ac:dyDescent="0.2">
      <c r="A63" s="151"/>
      <c r="B63" s="497"/>
      <c r="C63" s="144" t="s">
        <v>4</v>
      </c>
      <c r="D63" s="145" t="s">
        <v>8</v>
      </c>
      <c r="E63" s="148">
        <v>0</v>
      </c>
      <c r="F63" s="148">
        <f>F39+F58</f>
        <v>0</v>
      </c>
      <c r="G63" s="148">
        <f t="shared" si="5"/>
        <v>0</v>
      </c>
      <c r="H63" s="148">
        <f t="shared" si="5"/>
        <v>0</v>
      </c>
      <c r="I63" s="499"/>
      <c r="J63" s="500"/>
      <c r="K63" s="144" t="s">
        <v>4</v>
      </c>
      <c r="L63" s="145" t="s">
        <v>8</v>
      </c>
      <c r="M63" s="148">
        <v>0</v>
      </c>
      <c r="N63" s="148">
        <f t="shared" si="6"/>
        <v>0</v>
      </c>
      <c r="O63" s="148">
        <f t="shared" si="6"/>
        <v>0</v>
      </c>
      <c r="P63" s="149">
        <f t="shared" si="6"/>
        <v>0</v>
      </c>
    </row>
    <row r="64" spans="1:18" s="364" customFormat="1" ht="30" customHeight="1" thickBot="1" x14ac:dyDescent="0.25">
      <c r="A64" s="480" t="s">
        <v>59</v>
      </c>
      <c r="B64" s="481"/>
      <c r="C64" s="481"/>
      <c r="D64" s="482"/>
      <c r="E64" s="366"/>
      <c r="F64" s="366">
        <f>N60-F60</f>
        <v>16932107</v>
      </c>
      <c r="G64" s="367"/>
      <c r="H64" s="368">
        <f>P60-H60</f>
        <v>14436678</v>
      </c>
      <c r="I64" s="480" t="s">
        <v>60</v>
      </c>
      <c r="J64" s="481"/>
      <c r="K64" s="481"/>
      <c r="L64" s="482"/>
      <c r="M64" s="369">
        <f>E60-M60</f>
        <v>92235245</v>
      </c>
      <c r="N64" s="369"/>
      <c r="O64" s="369">
        <f>G60-O60</f>
        <v>2495429</v>
      </c>
      <c r="P64" s="370"/>
    </row>
    <row r="65" spans="1:16" s="1" customFormat="1" ht="18" customHeight="1" x14ac:dyDescent="0.2">
      <c r="A65" s="76" t="s">
        <v>33</v>
      </c>
      <c r="B65" s="469" t="s">
        <v>31</v>
      </c>
      <c r="C65" s="470"/>
      <c r="D65" s="471"/>
      <c r="E65" s="77">
        <f>SUM(E66:E67)</f>
        <v>290453372</v>
      </c>
      <c r="F65" s="77">
        <f>F66+F67</f>
        <v>473236060</v>
      </c>
      <c r="G65" s="77">
        <f>G66+G67</f>
        <v>15624000</v>
      </c>
      <c r="H65" s="77">
        <f>H66+H67</f>
        <v>488860060</v>
      </c>
      <c r="I65" s="78" t="s">
        <v>33</v>
      </c>
      <c r="J65" s="472" t="s">
        <v>44</v>
      </c>
      <c r="K65" s="473"/>
      <c r="L65" s="474"/>
      <c r="M65" s="79">
        <f>SUM(M66:M67)</f>
        <v>382688617</v>
      </c>
      <c r="N65" s="79">
        <f>N66+N67</f>
        <v>456303953</v>
      </c>
      <c r="O65" s="79">
        <f>O66+O67</f>
        <v>18119429</v>
      </c>
      <c r="P65" s="80">
        <f>P66+P67</f>
        <v>474423382</v>
      </c>
    </row>
    <row r="66" spans="1:16" s="1" customFormat="1" ht="18" customHeight="1" x14ac:dyDescent="0.2">
      <c r="A66" s="81"/>
      <c r="B66" s="475" t="s">
        <v>61</v>
      </c>
      <c r="C66" s="62" t="s">
        <v>1</v>
      </c>
      <c r="D66" s="63" t="s">
        <v>73</v>
      </c>
      <c r="E66" s="64">
        <v>290453372</v>
      </c>
      <c r="F66" s="64">
        <v>473236060</v>
      </c>
      <c r="G66" s="65">
        <v>0</v>
      </c>
      <c r="H66" s="66">
        <f>+G66+F66</f>
        <v>473236060</v>
      </c>
      <c r="I66" s="81"/>
      <c r="J66" s="475" t="s">
        <v>56</v>
      </c>
      <c r="K66" s="62" t="s">
        <v>1</v>
      </c>
      <c r="L66" s="63" t="s">
        <v>76</v>
      </c>
      <c r="M66" s="64">
        <v>370244617</v>
      </c>
      <c r="N66" s="64">
        <v>443859953</v>
      </c>
      <c r="O66" s="67">
        <v>2495429</v>
      </c>
      <c r="P66" s="66">
        <f>+O66+N66</f>
        <v>446355382</v>
      </c>
    </row>
    <row r="67" spans="1:16" s="1" customFormat="1" ht="18" customHeight="1" x14ac:dyDescent="0.2">
      <c r="A67" s="81"/>
      <c r="B67" s="476"/>
      <c r="C67" s="62" t="s">
        <v>2</v>
      </c>
      <c r="D67" s="63" t="s">
        <v>74</v>
      </c>
      <c r="E67" s="64">
        <v>0</v>
      </c>
      <c r="F67" s="64">
        <v>0</v>
      </c>
      <c r="G67" s="65">
        <v>15624000</v>
      </c>
      <c r="H67" s="66">
        <f>+G67+F67</f>
        <v>15624000</v>
      </c>
      <c r="I67" s="81"/>
      <c r="J67" s="476"/>
      <c r="K67" s="62" t="s">
        <v>2</v>
      </c>
      <c r="L67" s="63" t="s">
        <v>75</v>
      </c>
      <c r="M67" s="64">
        <v>12444000</v>
      </c>
      <c r="N67" s="64">
        <v>12444000</v>
      </c>
      <c r="O67" s="67">
        <v>15624000</v>
      </c>
      <c r="P67" s="66">
        <f>+O67+N67</f>
        <v>28068000</v>
      </c>
    </row>
    <row r="68" spans="1:16" s="6" customFormat="1" ht="18" customHeight="1" x14ac:dyDescent="0.2">
      <c r="A68" s="154" t="s">
        <v>34</v>
      </c>
      <c r="B68" s="477" t="s">
        <v>24</v>
      </c>
      <c r="C68" s="478"/>
      <c r="D68" s="479"/>
      <c r="E68" s="141">
        <f>SUM(E69:E71)</f>
        <v>1031479770</v>
      </c>
      <c r="F68" s="141">
        <f>F69+F70+F71</f>
        <v>2688728514</v>
      </c>
      <c r="G68" s="141">
        <f>G69+G70+G71</f>
        <v>79254056</v>
      </c>
      <c r="H68" s="141">
        <f>H69+H70+H71</f>
        <v>2767982570</v>
      </c>
      <c r="I68" s="155" t="s">
        <v>34</v>
      </c>
      <c r="J68" s="477" t="s">
        <v>25</v>
      </c>
      <c r="K68" s="478"/>
      <c r="L68" s="479"/>
      <c r="M68" s="141">
        <f>SUM(M69:M71)</f>
        <v>1031479770</v>
      </c>
      <c r="N68" s="141">
        <f>N69+N70+N71</f>
        <v>2688728514</v>
      </c>
      <c r="O68" s="141">
        <f>O69+O70+O71</f>
        <v>79254056</v>
      </c>
      <c r="P68" s="142">
        <f>P69+P70+P71</f>
        <v>2767982570</v>
      </c>
    </row>
    <row r="69" spans="1:16" s="6" customFormat="1" ht="18" customHeight="1" x14ac:dyDescent="0.2">
      <c r="A69" s="163"/>
      <c r="B69" s="465" t="s">
        <v>58</v>
      </c>
      <c r="C69" s="144" t="s">
        <v>1</v>
      </c>
      <c r="D69" s="145" t="s">
        <v>7</v>
      </c>
      <c r="E69" s="148">
        <f>E61+E66+E67</f>
        <v>1031479770</v>
      </c>
      <c r="F69" s="148">
        <f>F61+F66+F67</f>
        <v>2688728514</v>
      </c>
      <c r="G69" s="148">
        <f>G61+G66+G67</f>
        <v>79254056</v>
      </c>
      <c r="H69" s="148">
        <f>H61+H66+H67</f>
        <v>2767982570</v>
      </c>
      <c r="I69" s="164"/>
      <c r="J69" s="465" t="s">
        <v>57</v>
      </c>
      <c r="K69" s="144" t="s">
        <v>1</v>
      </c>
      <c r="L69" s="145" t="s">
        <v>7</v>
      </c>
      <c r="M69" s="148">
        <f>M61+M66+M67</f>
        <v>1026212270</v>
      </c>
      <c r="N69" s="148">
        <f>N61+N66+N67</f>
        <v>2673675779</v>
      </c>
      <c r="O69" s="148">
        <f>O61+O66+O67</f>
        <v>79254056</v>
      </c>
      <c r="P69" s="149">
        <f>P61+P66+P67</f>
        <v>2752929835</v>
      </c>
    </row>
    <row r="70" spans="1:16" s="6" customFormat="1" ht="18" customHeight="1" x14ac:dyDescent="0.2">
      <c r="A70" s="163"/>
      <c r="B70" s="466"/>
      <c r="C70" s="144" t="s">
        <v>2</v>
      </c>
      <c r="D70" s="145" t="s">
        <v>9</v>
      </c>
      <c r="E70" s="148">
        <v>0</v>
      </c>
      <c r="F70" s="148">
        <f t="shared" ref="F70:H71" si="7">F62</f>
        <v>0</v>
      </c>
      <c r="G70" s="148">
        <f t="shared" si="7"/>
        <v>0</v>
      </c>
      <c r="H70" s="148">
        <f t="shared" si="7"/>
        <v>0</v>
      </c>
      <c r="I70" s="164"/>
      <c r="J70" s="466"/>
      <c r="K70" s="144" t="s">
        <v>2</v>
      </c>
      <c r="L70" s="145" t="s">
        <v>9</v>
      </c>
      <c r="M70" s="148">
        <f>M62</f>
        <v>5267500</v>
      </c>
      <c r="N70" s="148">
        <f>N62</f>
        <v>15052735</v>
      </c>
      <c r="O70" s="148">
        <f t="shared" ref="N70:P71" si="8">O62</f>
        <v>0</v>
      </c>
      <c r="P70" s="149">
        <f t="shared" si="8"/>
        <v>15052735</v>
      </c>
    </row>
    <row r="71" spans="1:16" s="6" customFormat="1" ht="18" customHeight="1" thickBot="1" x14ac:dyDescent="0.25">
      <c r="A71" s="165"/>
      <c r="B71" s="467"/>
      <c r="C71" s="166" t="s">
        <v>4</v>
      </c>
      <c r="D71" s="167" t="s">
        <v>8</v>
      </c>
      <c r="E71" s="168">
        <v>0</v>
      </c>
      <c r="F71" s="168">
        <f t="shared" si="7"/>
        <v>0</v>
      </c>
      <c r="G71" s="168">
        <f t="shared" si="7"/>
        <v>0</v>
      </c>
      <c r="H71" s="168">
        <f t="shared" si="7"/>
        <v>0</v>
      </c>
      <c r="I71" s="169"/>
      <c r="J71" s="467"/>
      <c r="K71" s="166" t="s">
        <v>4</v>
      </c>
      <c r="L71" s="167" t="s">
        <v>8</v>
      </c>
      <c r="M71" s="168">
        <v>0</v>
      </c>
      <c r="N71" s="168">
        <f t="shared" si="8"/>
        <v>0</v>
      </c>
      <c r="O71" s="168">
        <f t="shared" si="8"/>
        <v>0</v>
      </c>
      <c r="P71" s="170">
        <f t="shared" si="8"/>
        <v>0</v>
      </c>
    </row>
    <row r="74" spans="1:16" x14ac:dyDescent="0.2">
      <c r="A74" s="468"/>
      <c r="B74" s="468"/>
      <c r="C74" s="468"/>
      <c r="D74" s="468"/>
      <c r="E74" s="468"/>
      <c r="F74" s="468"/>
      <c r="G74" s="16"/>
      <c r="H74" s="16"/>
    </row>
  </sheetData>
  <sheetProtection formatCells="0"/>
  <mergeCells count="78">
    <mergeCell ref="A7:P7"/>
    <mergeCell ref="K1:P1"/>
    <mergeCell ref="K2:P2"/>
    <mergeCell ref="A4:P4"/>
    <mergeCell ref="A5:P5"/>
    <mergeCell ref="A6:P6"/>
    <mergeCell ref="A8:P8"/>
    <mergeCell ref="D9:L9"/>
    <mergeCell ref="A10:F10"/>
    <mergeCell ref="I10:P10"/>
    <mergeCell ref="C11:D11"/>
    <mergeCell ref="K11:L11"/>
    <mergeCell ref="A12:P12"/>
    <mergeCell ref="B13:D13"/>
    <mergeCell ref="J13:L13"/>
    <mergeCell ref="B14:B17"/>
    <mergeCell ref="C14:D14"/>
    <mergeCell ref="J14:J17"/>
    <mergeCell ref="K14:L14"/>
    <mergeCell ref="B18:B21"/>
    <mergeCell ref="C18:D18"/>
    <mergeCell ref="J18:J21"/>
    <mergeCell ref="K18:L18"/>
    <mergeCell ref="B22:B25"/>
    <mergeCell ref="C22:D22"/>
    <mergeCell ref="J22:J25"/>
    <mergeCell ref="K22:L22"/>
    <mergeCell ref="A40:D40"/>
    <mergeCell ref="I40:L40"/>
    <mergeCell ref="B26:B29"/>
    <mergeCell ref="C26:D26"/>
    <mergeCell ref="J26:J29"/>
    <mergeCell ref="K26:L26"/>
    <mergeCell ref="A30:H35"/>
    <mergeCell ref="J30:J35"/>
    <mergeCell ref="K30:L30"/>
    <mergeCell ref="B36:D36"/>
    <mergeCell ref="J36:L36"/>
    <mergeCell ref="B37:B39"/>
    <mergeCell ref="I37:I39"/>
    <mergeCell ref="J37:J39"/>
    <mergeCell ref="A41:P41"/>
    <mergeCell ref="B42:D42"/>
    <mergeCell ref="J42:L42"/>
    <mergeCell ref="B43:B46"/>
    <mergeCell ref="C43:D43"/>
    <mergeCell ref="J43:J46"/>
    <mergeCell ref="K43:L43"/>
    <mergeCell ref="B47:B50"/>
    <mergeCell ref="C47:D47"/>
    <mergeCell ref="J47:J50"/>
    <mergeCell ref="K47:L47"/>
    <mergeCell ref="B51:B54"/>
    <mergeCell ref="C51:D51"/>
    <mergeCell ref="J51:J54"/>
    <mergeCell ref="K51:L51"/>
    <mergeCell ref="A64:D64"/>
    <mergeCell ref="I64:L64"/>
    <mergeCell ref="B55:D55"/>
    <mergeCell ref="J55:L55"/>
    <mergeCell ref="B56:B58"/>
    <mergeCell ref="J56:J58"/>
    <mergeCell ref="A59:D59"/>
    <mergeCell ref="I59:L59"/>
    <mergeCell ref="B60:D60"/>
    <mergeCell ref="J60:L60"/>
    <mergeCell ref="B61:B63"/>
    <mergeCell ref="I61:I63"/>
    <mergeCell ref="J61:J63"/>
    <mergeCell ref="B69:B71"/>
    <mergeCell ref="J69:J71"/>
    <mergeCell ref="A74:F74"/>
    <mergeCell ref="B65:D65"/>
    <mergeCell ref="J65:L65"/>
    <mergeCell ref="B66:B67"/>
    <mergeCell ref="J66:J67"/>
    <mergeCell ref="B68:D68"/>
    <mergeCell ref="J68:L68"/>
  </mergeCells>
  <printOptions horizontalCentered="1"/>
  <pageMargins left="0.19685039370078741" right="0.19685039370078741" top="3.937007874015748E-2" bottom="0" header="0.43307086614173229" footer="0.51181102362204722"/>
  <pageSetup paperSize="9" scale="61" orientation="landscape" r:id="rId1"/>
  <headerFooter alignWithMargins="0"/>
  <rowBreaks count="1" manualBreakCount="1">
    <brk id="4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CB1E8-143F-41D4-BA84-E168E93A5DA5}">
  <sheetPr>
    <tabColor theme="8" tint="0.59999389629810485"/>
  </sheetPr>
  <dimension ref="A1:T74"/>
  <sheetViews>
    <sheetView zoomScale="90" zoomScaleNormal="90" workbookViewId="0">
      <pane ySplit="11" topLeftCell="A57" activePane="bottomLeft" state="frozen"/>
      <selection pane="bottomLeft" activeCell="A12" sqref="A12:XFD12"/>
    </sheetView>
  </sheetViews>
  <sheetFormatPr defaultColWidth="9.140625" defaultRowHeight="12.75" x14ac:dyDescent="0.2"/>
  <cols>
    <col min="1" max="1" width="5.5703125" style="19" customWidth="1"/>
    <col min="2" max="2" width="4.28515625" style="19" customWidth="1"/>
    <col min="3" max="3" width="3.7109375" style="14" customWidth="1"/>
    <col min="4" max="4" width="45.7109375" style="14" customWidth="1"/>
    <col min="5" max="5" width="13.7109375" style="14" customWidth="1"/>
    <col min="6" max="8" width="13.7109375" style="20" customWidth="1"/>
    <col min="9" max="9" width="6.5703125" style="21" customWidth="1"/>
    <col min="10" max="10" width="4.28515625" style="21" customWidth="1"/>
    <col min="11" max="11" width="3.7109375" style="21" customWidth="1"/>
    <col min="12" max="12" width="45.7109375" style="14" customWidth="1"/>
    <col min="13" max="15" width="13.7109375" style="14" customWidth="1"/>
    <col min="16" max="16" width="13.7109375" style="20" customWidth="1"/>
    <col min="17" max="16384" width="9.140625" style="14"/>
  </cols>
  <sheetData>
    <row r="1" spans="1:20" s="3" customFormat="1" ht="14.25" x14ac:dyDescent="0.2">
      <c r="A1" s="16"/>
      <c r="B1" s="16"/>
      <c r="E1" s="4"/>
      <c r="F1" s="4"/>
      <c r="G1" s="4"/>
      <c r="H1" s="8"/>
      <c r="I1" s="8"/>
      <c r="J1" s="8"/>
      <c r="K1" s="464" t="s">
        <v>241</v>
      </c>
      <c r="L1" s="464"/>
      <c r="M1" s="464"/>
      <c r="N1" s="464"/>
      <c r="O1" s="464"/>
      <c r="P1" s="464"/>
      <c r="Q1" s="13"/>
      <c r="R1" s="13"/>
      <c r="S1" s="13"/>
      <c r="T1" s="13"/>
    </row>
    <row r="2" spans="1:20" s="3" customFormat="1" ht="14.25" x14ac:dyDescent="0.2">
      <c r="A2" s="16"/>
      <c r="B2" s="16"/>
      <c r="E2" s="4"/>
      <c r="F2" s="4"/>
      <c r="G2" s="4"/>
      <c r="H2" s="8"/>
      <c r="I2" s="8"/>
      <c r="J2" s="8"/>
      <c r="K2" s="464" t="s">
        <v>97</v>
      </c>
      <c r="L2" s="464"/>
      <c r="M2" s="464"/>
      <c r="N2" s="464"/>
      <c r="O2" s="464"/>
      <c r="P2" s="464"/>
      <c r="Q2" s="13"/>
      <c r="R2" s="13"/>
      <c r="S2" s="13"/>
      <c r="T2" s="13"/>
    </row>
    <row r="3" spans="1:20" s="3" customFormat="1" ht="14.25" x14ac:dyDescent="0.2">
      <c r="A3" s="16"/>
      <c r="B3" s="16"/>
      <c r="E3" s="4"/>
      <c r="F3" s="4"/>
      <c r="G3" s="4"/>
      <c r="H3" s="8"/>
      <c r="I3" s="8"/>
      <c r="J3" s="8"/>
      <c r="K3" s="15"/>
      <c r="L3" s="15"/>
      <c r="M3" s="15"/>
      <c r="N3" s="15"/>
      <c r="O3" s="13"/>
      <c r="P3" s="13"/>
      <c r="Q3" s="13"/>
      <c r="R3" s="13"/>
      <c r="S3" s="13"/>
      <c r="T3" s="13"/>
    </row>
    <row r="4" spans="1:20" s="3" customFormat="1" ht="15.95" customHeight="1" x14ac:dyDescent="0.25">
      <c r="A4" s="455" t="s">
        <v>96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</row>
    <row r="5" spans="1:20" s="3" customFormat="1" ht="15.95" customHeight="1" x14ac:dyDescent="0.25">
      <c r="A5" s="455" t="s">
        <v>23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</row>
    <row r="6" spans="1:20" s="3" customFormat="1" ht="15.95" customHeight="1" x14ac:dyDescent="0.25">
      <c r="A6" s="455" t="s">
        <v>39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</row>
    <row r="7" spans="1:20" s="3" customFormat="1" ht="15.95" customHeight="1" x14ac:dyDescent="0.25">
      <c r="A7" s="455" t="s">
        <v>98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</row>
    <row r="8" spans="1:20" s="3" customFormat="1" ht="15.95" customHeight="1" x14ac:dyDescent="0.25">
      <c r="A8" s="455" t="s">
        <v>238</v>
      </c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</row>
    <row r="9" spans="1:20" ht="15.95" customHeight="1" thickBot="1" x14ac:dyDescent="0.35">
      <c r="D9" s="456"/>
      <c r="E9" s="456"/>
      <c r="F9" s="456"/>
      <c r="G9" s="456"/>
      <c r="H9" s="456"/>
      <c r="I9" s="456"/>
      <c r="J9" s="456"/>
      <c r="K9" s="456"/>
      <c r="L9" s="456"/>
      <c r="M9" s="22"/>
      <c r="N9" s="22"/>
      <c r="O9" s="22"/>
      <c r="P9" s="23" t="s">
        <v>94</v>
      </c>
    </row>
    <row r="10" spans="1:20" s="24" customFormat="1" ht="21.95" customHeight="1" x14ac:dyDescent="0.2">
      <c r="A10" s="457" t="s">
        <v>37</v>
      </c>
      <c r="B10" s="458"/>
      <c r="C10" s="458"/>
      <c r="D10" s="458"/>
      <c r="E10" s="458"/>
      <c r="F10" s="458"/>
      <c r="G10" s="93"/>
      <c r="H10" s="93"/>
      <c r="I10" s="457" t="s">
        <v>38</v>
      </c>
      <c r="J10" s="458"/>
      <c r="K10" s="458"/>
      <c r="L10" s="458"/>
      <c r="M10" s="458"/>
      <c r="N10" s="458"/>
      <c r="O10" s="458"/>
      <c r="P10" s="459"/>
    </row>
    <row r="11" spans="1:20" s="24" customFormat="1" ht="41.25" customHeight="1" thickBot="1" x14ac:dyDescent="0.25">
      <c r="A11" s="94" t="s">
        <v>77</v>
      </c>
      <c r="B11" s="95" t="s">
        <v>78</v>
      </c>
      <c r="C11" s="460"/>
      <c r="D11" s="461"/>
      <c r="E11" s="90" t="s">
        <v>28</v>
      </c>
      <c r="F11" s="96" t="s">
        <v>88</v>
      </c>
      <c r="G11" s="96" t="s">
        <v>87</v>
      </c>
      <c r="H11" s="96" t="s">
        <v>88</v>
      </c>
      <c r="I11" s="94" t="s">
        <v>77</v>
      </c>
      <c r="J11" s="95" t="s">
        <v>78</v>
      </c>
      <c r="K11" s="462"/>
      <c r="L11" s="463"/>
      <c r="M11" s="90" t="s">
        <v>28</v>
      </c>
      <c r="N11" s="96" t="s">
        <v>88</v>
      </c>
      <c r="O11" s="96" t="s">
        <v>87</v>
      </c>
      <c r="P11" s="97" t="s">
        <v>88</v>
      </c>
    </row>
    <row r="12" spans="1:20" s="25" customFormat="1" ht="18" customHeight="1" x14ac:dyDescent="0.2">
      <c r="A12" s="425" t="s">
        <v>36</v>
      </c>
      <c r="B12" s="426"/>
      <c r="C12" s="426"/>
      <c r="D12" s="426"/>
      <c r="E12" s="426"/>
      <c r="F12" s="426"/>
      <c r="G12" s="426"/>
      <c r="H12" s="426"/>
      <c r="I12" s="426"/>
      <c r="J12" s="426"/>
      <c r="K12" s="426"/>
      <c r="L12" s="426"/>
      <c r="M12" s="426"/>
      <c r="N12" s="426"/>
      <c r="O12" s="426"/>
      <c r="P12" s="427"/>
    </row>
    <row r="13" spans="1:20" s="31" customFormat="1" ht="18" customHeight="1" x14ac:dyDescent="0.2">
      <c r="A13" s="26" t="s">
        <v>0</v>
      </c>
      <c r="B13" s="428" t="s">
        <v>35</v>
      </c>
      <c r="C13" s="429"/>
      <c r="D13" s="430"/>
      <c r="E13" s="56">
        <f>E14+E18+E22+E26</f>
        <v>840000</v>
      </c>
      <c r="F13" s="27">
        <f>F14+F18+F22+F26</f>
        <v>24750768</v>
      </c>
      <c r="G13" s="82">
        <f>G14+G18+G22+G26</f>
        <v>434701</v>
      </c>
      <c r="H13" s="27">
        <f>H14+H18+H22+H26</f>
        <v>25185469</v>
      </c>
      <c r="I13" s="28" t="s">
        <v>0</v>
      </c>
      <c r="J13" s="452" t="s">
        <v>17</v>
      </c>
      <c r="K13" s="453"/>
      <c r="L13" s="454"/>
      <c r="M13" s="29">
        <f>M14+M18+M22+M26+M30</f>
        <v>376069048</v>
      </c>
      <c r="N13" s="29">
        <f>N14+N18+N22+N26+N30</f>
        <v>494437705</v>
      </c>
      <c r="O13" s="83">
        <f>O14+O18+O22+O30+O26</f>
        <v>2930130</v>
      </c>
      <c r="P13" s="30">
        <f>P14+P18+P22+P30+P26</f>
        <v>497367835</v>
      </c>
    </row>
    <row r="14" spans="1:20" s="25" customFormat="1" ht="18" customHeight="1" x14ac:dyDescent="0.2">
      <c r="A14" s="32"/>
      <c r="B14" s="414" t="s">
        <v>50</v>
      </c>
      <c r="C14" s="434" t="s">
        <v>42</v>
      </c>
      <c r="D14" s="435"/>
      <c r="E14" s="56">
        <f>E15+E16+E17</f>
        <v>0</v>
      </c>
      <c r="F14" s="27">
        <f>F15+F16+F17</f>
        <v>22586469</v>
      </c>
      <c r="G14" s="82">
        <f>G15+G16+G17</f>
        <v>200100</v>
      </c>
      <c r="H14" s="27">
        <f>H15+H16+H17</f>
        <v>22786569</v>
      </c>
      <c r="I14" s="33"/>
      <c r="J14" s="419" t="s">
        <v>45</v>
      </c>
      <c r="K14" s="436" t="s">
        <v>13</v>
      </c>
      <c r="L14" s="436"/>
      <c r="M14" s="27">
        <f>SUM(M15:M17)</f>
        <v>283181886</v>
      </c>
      <c r="N14" s="27">
        <f>N15+N16+N17</f>
        <v>371379282</v>
      </c>
      <c r="O14" s="82">
        <f>O15+O16+O17</f>
        <v>2487351</v>
      </c>
      <c r="P14" s="34">
        <f>P15+P16+P17</f>
        <v>373866633</v>
      </c>
    </row>
    <row r="15" spans="1:20" s="25" customFormat="1" ht="18" customHeight="1" x14ac:dyDescent="0.2">
      <c r="A15" s="32"/>
      <c r="B15" s="415"/>
      <c r="C15" s="35" t="s">
        <v>1</v>
      </c>
      <c r="D15" s="36" t="s">
        <v>7</v>
      </c>
      <c r="E15" s="64">
        <v>0</v>
      </c>
      <c r="F15" s="37">
        <v>22586469</v>
      </c>
      <c r="G15" s="84">
        <v>200100</v>
      </c>
      <c r="H15" s="38">
        <f>+G15+F15</f>
        <v>22786569</v>
      </c>
      <c r="I15" s="33"/>
      <c r="J15" s="420"/>
      <c r="K15" s="35" t="s">
        <v>1</v>
      </c>
      <c r="L15" s="36" t="s">
        <v>7</v>
      </c>
      <c r="M15" s="37">
        <v>283181886</v>
      </c>
      <c r="N15" s="37">
        <v>371379282</v>
      </c>
      <c r="O15" s="85">
        <v>2487351</v>
      </c>
      <c r="P15" s="38">
        <f>+O15+N15</f>
        <v>373866633</v>
      </c>
    </row>
    <row r="16" spans="1:20" s="25" customFormat="1" ht="18" customHeight="1" x14ac:dyDescent="0.2">
      <c r="A16" s="32"/>
      <c r="B16" s="415"/>
      <c r="C16" s="35" t="s">
        <v>2</v>
      </c>
      <c r="D16" s="36" t="s">
        <v>9</v>
      </c>
      <c r="E16" s="64">
        <v>0</v>
      </c>
      <c r="F16" s="37">
        <v>0</v>
      </c>
      <c r="G16" s="84">
        <v>0</v>
      </c>
      <c r="H16" s="38">
        <f t="shared" ref="H16:H25" si="0">+G16+F16</f>
        <v>0</v>
      </c>
      <c r="I16" s="33"/>
      <c r="J16" s="420"/>
      <c r="K16" s="35" t="s">
        <v>2</v>
      </c>
      <c r="L16" s="36" t="s">
        <v>9</v>
      </c>
      <c r="M16" s="37">
        <v>0</v>
      </c>
      <c r="N16" s="37">
        <v>0</v>
      </c>
      <c r="O16" s="85">
        <v>0</v>
      </c>
      <c r="P16" s="38">
        <f>+O16+N16</f>
        <v>0</v>
      </c>
    </row>
    <row r="17" spans="1:18" s="25" customFormat="1" ht="18" customHeight="1" x14ac:dyDescent="0.2">
      <c r="A17" s="32"/>
      <c r="B17" s="416"/>
      <c r="C17" s="35" t="s">
        <v>4</v>
      </c>
      <c r="D17" s="36" t="s">
        <v>8</v>
      </c>
      <c r="E17" s="64">
        <v>0</v>
      </c>
      <c r="F17" s="37">
        <v>0</v>
      </c>
      <c r="G17" s="84">
        <v>0</v>
      </c>
      <c r="H17" s="38">
        <f t="shared" si="0"/>
        <v>0</v>
      </c>
      <c r="I17" s="33"/>
      <c r="J17" s="421"/>
      <c r="K17" s="35" t="s">
        <v>4</v>
      </c>
      <c r="L17" s="36" t="s">
        <v>8</v>
      </c>
      <c r="M17" s="37">
        <v>0</v>
      </c>
      <c r="N17" s="37">
        <v>0</v>
      </c>
      <c r="O17" s="85">
        <v>0</v>
      </c>
      <c r="P17" s="38">
        <f>+O17+N17</f>
        <v>0</v>
      </c>
    </row>
    <row r="18" spans="1:18" s="25" customFormat="1" ht="18" customHeight="1" x14ac:dyDescent="0.2">
      <c r="A18" s="32"/>
      <c r="B18" s="414" t="s">
        <v>63</v>
      </c>
      <c r="C18" s="417" t="s">
        <v>5</v>
      </c>
      <c r="D18" s="418"/>
      <c r="E18" s="56">
        <f>E19+E20+E21</f>
        <v>0</v>
      </c>
      <c r="F18" s="27">
        <f>F19+F20+F21</f>
        <v>175000</v>
      </c>
      <c r="G18" s="82">
        <f>G19+G20+G21</f>
        <v>90000</v>
      </c>
      <c r="H18" s="27">
        <f>H19+H20+H21</f>
        <v>265000</v>
      </c>
      <c r="I18" s="33"/>
      <c r="J18" s="419" t="s">
        <v>46</v>
      </c>
      <c r="K18" s="424" t="s">
        <v>16</v>
      </c>
      <c r="L18" s="424"/>
      <c r="M18" s="27">
        <f>SUM(M19:M21)</f>
        <v>42952370</v>
      </c>
      <c r="N18" s="27">
        <f>N19+N20+N21</f>
        <v>55154217</v>
      </c>
      <c r="O18" s="82">
        <f>O19+O20+O21</f>
        <v>333178</v>
      </c>
      <c r="P18" s="34">
        <f>P19+P20+P21</f>
        <v>55487395</v>
      </c>
    </row>
    <row r="19" spans="1:18" s="25" customFormat="1" ht="18" customHeight="1" x14ac:dyDescent="0.2">
      <c r="A19" s="32"/>
      <c r="B19" s="415"/>
      <c r="C19" s="35" t="s">
        <v>1</v>
      </c>
      <c r="D19" s="36" t="s">
        <v>7</v>
      </c>
      <c r="E19" s="64">
        <v>0</v>
      </c>
      <c r="F19" s="37">
        <v>0</v>
      </c>
      <c r="G19" s="84">
        <v>0</v>
      </c>
      <c r="H19" s="38">
        <f t="shared" si="0"/>
        <v>0</v>
      </c>
      <c r="I19" s="33"/>
      <c r="J19" s="420"/>
      <c r="K19" s="35" t="s">
        <v>1</v>
      </c>
      <c r="L19" s="36" t="s">
        <v>7</v>
      </c>
      <c r="M19" s="37">
        <v>42952370</v>
      </c>
      <c r="N19" s="37">
        <v>55154217</v>
      </c>
      <c r="O19" s="85">
        <v>333178</v>
      </c>
      <c r="P19" s="38">
        <f>+O19+N19</f>
        <v>55487395</v>
      </c>
    </row>
    <row r="20" spans="1:18" s="25" customFormat="1" ht="18" customHeight="1" x14ac:dyDescent="0.2">
      <c r="A20" s="32"/>
      <c r="B20" s="415"/>
      <c r="C20" s="35" t="s">
        <v>2</v>
      </c>
      <c r="D20" s="36" t="s">
        <v>9</v>
      </c>
      <c r="E20" s="64">
        <v>0</v>
      </c>
      <c r="F20" s="37">
        <v>0</v>
      </c>
      <c r="G20" s="84">
        <v>0</v>
      </c>
      <c r="H20" s="38">
        <f t="shared" si="0"/>
        <v>0</v>
      </c>
      <c r="I20" s="33"/>
      <c r="J20" s="420"/>
      <c r="K20" s="35" t="s">
        <v>2</v>
      </c>
      <c r="L20" s="36" t="s">
        <v>9</v>
      </c>
      <c r="M20" s="37">
        <v>0</v>
      </c>
      <c r="N20" s="37">
        <v>0</v>
      </c>
      <c r="O20" s="85">
        <v>0</v>
      </c>
      <c r="P20" s="38">
        <f>+O20+N20</f>
        <v>0</v>
      </c>
    </row>
    <row r="21" spans="1:18" s="25" customFormat="1" ht="18" customHeight="1" x14ac:dyDescent="0.2">
      <c r="A21" s="32"/>
      <c r="B21" s="416"/>
      <c r="C21" s="35" t="s">
        <v>4</v>
      </c>
      <c r="D21" s="36" t="s">
        <v>8</v>
      </c>
      <c r="E21" s="64">
        <v>0</v>
      </c>
      <c r="F21" s="37">
        <v>175000</v>
      </c>
      <c r="G21" s="84">
        <v>90000</v>
      </c>
      <c r="H21" s="38">
        <f t="shared" si="0"/>
        <v>265000</v>
      </c>
      <c r="I21" s="33"/>
      <c r="J21" s="421"/>
      <c r="K21" s="35" t="s">
        <v>4</v>
      </c>
      <c r="L21" s="36" t="s">
        <v>8</v>
      </c>
      <c r="M21" s="37">
        <v>0</v>
      </c>
      <c r="N21" s="37">
        <v>0</v>
      </c>
      <c r="O21" s="85">
        <v>0</v>
      </c>
      <c r="P21" s="38">
        <f>+O21+N21</f>
        <v>0</v>
      </c>
    </row>
    <row r="22" spans="1:18" s="25" customFormat="1" ht="18" customHeight="1" x14ac:dyDescent="0.2">
      <c r="A22" s="32"/>
      <c r="B22" s="414" t="s">
        <v>64</v>
      </c>
      <c r="C22" s="417" t="s">
        <v>27</v>
      </c>
      <c r="D22" s="418"/>
      <c r="E22" s="56">
        <f>E23+E24+E25</f>
        <v>840000</v>
      </c>
      <c r="F22" s="27">
        <f>F23+F24+F25</f>
        <v>1989299</v>
      </c>
      <c r="G22" s="82">
        <f>G23+G24+G25</f>
        <v>144601</v>
      </c>
      <c r="H22" s="27">
        <f>H23+H24+H25</f>
        <v>2133900</v>
      </c>
      <c r="I22" s="33"/>
      <c r="J22" s="419" t="s">
        <v>47</v>
      </c>
      <c r="K22" s="424" t="s">
        <v>26</v>
      </c>
      <c r="L22" s="424"/>
      <c r="M22" s="27">
        <f>SUM(M23:M25)</f>
        <v>44315361</v>
      </c>
      <c r="N22" s="27">
        <f>N23+N24+N25</f>
        <v>62284775</v>
      </c>
      <c r="O22" s="82">
        <f>O23+O24+O25</f>
        <v>109601</v>
      </c>
      <c r="P22" s="34">
        <f>P23+P24+P25</f>
        <v>62394376</v>
      </c>
    </row>
    <row r="23" spans="1:18" s="25" customFormat="1" ht="18" customHeight="1" x14ac:dyDescent="0.2">
      <c r="A23" s="32"/>
      <c r="B23" s="415"/>
      <c r="C23" s="35" t="s">
        <v>1</v>
      </c>
      <c r="D23" s="36" t="s">
        <v>7</v>
      </c>
      <c r="E23" s="64">
        <v>840000</v>
      </c>
      <c r="F23" s="37">
        <v>1989299</v>
      </c>
      <c r="G23" s="84">
        <v>144601</v>
      </c>
      <c r="H23" s="38">
        <f t="shared" si="0"/>
        <v>2133900</v>
      </c>
      <c r="I23" s="33"/>
      <c r="J23" s="420"/>
      <c r="K23" s="35" t="s">
        <v>1</v>
      </c>
      <c r="L23" s="36" t="s">
        <v>7</v>
      </c>
      <c r="M23" s="37">
        <v>44315361</v>
      </c>
      <c r="N23" s="37">
        <v>62284775</v>
      </c>
      <c r="O23" s="85">
        <v>109601</v>
      </c>
      <c r="P23" s="38">
        <f>+O23+N23</f>
        <v>62394376</v>
      </c>
    </row>
    <row r="24" spans="1:18" s="25" customFormat="1" ht="18" customHeight="1" x14ac:dyDescent="0.2">
      <c r="A24" s="32"/>
      <c r="B24" s="415"/>
      <c r="C24" s="35" t="s">
        <v>2</v>
      </c>
      <c r="D24" s="36" t="s">
        <v>9</v>
      </c>
      <c r="E24" s="64">
        <v>0</v>
      </c>
      <c r="F24" s="37">
        <v>0</v>
      </c>
      <c r="G24" s="84">
        <v>0</v>
      </c>
      <c r="H24" s="38">
        <f t="shared" si="0"/>
        <v>0</v>
      </c>
      <c r="I24" s="33"/>
      <c r="J24" s="420"/>
      <c r="K24" s="35" t="s">
        <v>2</v>
      </c>
      <c r="L24" s="36" t="s">
        <v>9</v>
      </c>
      <c r="M24" s="37">
        <v>0</v>
      </c>
      <c r="N24" s="37">
        <v>0</v>
      </c>
      <c r="O24" s="85">
        <v>0</v>
      </c>
      <c r="P24" s="38">
        <f t="shared" ref="P24:P35" si="1">+O24+N24</f>
        <v>0</v>
      </c>
    </row>
    <row r="25" spans="1:18" s="25" customFormat="1" ht="18" customHeight="1" x14ac:dyDescent="0.2">
      <c r="A25" s="32"/>
      <c r="B25" s="416"/>
      <c r="C25" s="35" t="s">
        <v>4</v>
      </c>
      <c r="D25" s="36" t="s">
        <v>8</v>
      </c>
      <c r="E25" s="64">
        <v>0</v>
      </c>
      <c r="F25" s="37">
        <v>0</v>
      </c>
      <c r="G25" s="84">
        <v>0</v>
      </c>
      <c r="H25" s="38">
        <f t="shared" si="0"/>
        <v>0</v>
      </c>
      <c r="I25" s="33"/>
      <c r="J25" s="421"/>
      <c r="K25" s="35" t="s">
        <v>4</v>
      </c>
      <c r="L25" s="36" t="s">
        <v>8</v>
      </c>
      <c r="M25" s="37">
        <v>0</v>
      </c>
      <c r="N25" s="37">
        <v>0</v>
      </c>
      <c r="O25" s="85">
        <v>0</v>
      </c>
      <c r="P25" s="38">
        <f t="shared" si="1"/>
        <v>0</v>
      </c>
    </row>
    <row r="26" spans="1:18" s="25" customFormat="1" ht="18" customHeight="1" x14ac:dyDescent="0.2">
      <c r="A26" s="32"/>
      <c r="B26" s="414" t="s">
        <v>66</v>
      </c>
      <c r="C26" s="422" t="s">
        <v>41</v>
      </c>
      <c r="D26" s="423"/>
      <c r="E26" s="56">
        <f>E27+E28+E29</f>
        <v>0</v>
      </c>
      <c r="F26" s="27">
        <f>F27+F28+F29</f>
        <v>0</v>
      </c>
      <c r="G26" s="82">
        <f>G27+G28+G29</f>
        <v>0</v>
      </c>
      <c r="H26" s="27">
        <f>H27+H28+H29</f>
        <v>0</v>
      </c>
      <c r="I26" s="33"/>
      <c r="J26" s="419" t="s">
        <v>48</v>
      </c>
      <c r="K26" s="436" t="s">
        <v>6</v>
      </c>
      <c r="L26" s="436"/>
      <c r="M26" s="27">
        <f>SUM(M27:M29)</f>
        <v>0</v>
      </c>
      <c r="N26" s="27">
        <f>N27+N28+N29</f>
        <v>0</v>
      </c>
      <c r="O26" s="82">
        <f>O27+O28+O29</f>
        <v>0</v>
      </c>
      <c r="P26" s="34">
        <f>P27+P28+P29</f>
        <v>0</v>
      </c>
    </row>
    <row r="27" spans="1:18" s="25" customFormat="1" ht="18" customHeight="1" x14ac:dyDescent="0.2">
      <c r="A27" s="32"/>
      <c r="B27" s="415"/>
      <c r="C27" s="35" t="s">
        <v>1</v>
      </c>
      <c r="D27" s="36" t="s">
        <v>7</v>
      </c>
      <c r="E27" s="64">
        <v>0</v>
      </c>
      <c r="F27" s="37">
        <v>0</v>
      </c>
      <c r="G27" s="84">
        <v>0</v>
      </c>
      <c r="H27" s="38">
        <f>+G27+F27</f>
        <v>0</v>
      </c>
      <c r="I27" s="33"/>
      <c r="J27" s="420"/>
      <c r="K27" s="35" t="s">
        <v>1</v>
      </c>
      <c r="L27" s="36" t="s">
        <v>7</v>
      </c>
      <c r="M27" s="37">
        <v>0</v>
      </c>
      <c r="N27" s="37">
        <v>0</v>
      </c>
      <c r="O27" s="85">
        <v>0</v>
      </c>
      <c r="P27" s="38">
        <f t="shared" si="1"/>
        <v>0</v>
      </c>
    </row>
    <row r="28" spans="1:18" s="25" customFormat="1" ht="18" customHeight="1" x14ac:dyDescent="0.2">
      <c r="A28" s="32"/>
      <c r="B28" s="415"/>
      <c r="C28" s="35" t="s">
        <v>2</v>
      </c>
      <c r="D28" s="36" t="s">
        <v>9</v>
      </c>
      <c r="E28" s="64">
        <v>0</v>
      </c>
      <c r="F28" s="37">
        <v>0</v>
      </c>
      <c r="G28" s="84">
        <v>0</v>
      </c>
      <c r="H28" s="38">
        <f>+G28+F28</f>
        <v>0</v>
      </c>
      <c r="I28" s="33"/>
      <c r="J28" s="420"/>
      <c r="K28" s="35" t="s">
        <v>2</v>
      </c>
      <c r="L28" s="36" t="s">
        <v>9</v>
      </c>
      <c r="M28" s="37">
        <v>0</v>
      </c>
      <c r="N28" s="37">
        <v>0</v>
      </c>
      <c r="O28" s="85">
        <v>0</v>
      </c>
      <c r="P28" s="38">
        <f t="shared" si="1"/>
        <v>0</v>
      </c>
    </row>
    <row r="29" spans="1:18" s="25" customFormat="1" ht="18" customHeight="1" x14ac:dyDescent="0.2">
      <c r="A29" s="42"/>
      <c r="B29" s="416"/>
      <c r="C29" s="35" t="s">
        <v>4</v>
      </c>
      <c r="D29" s="36" t="s">
        <v>8</v>
      </c>
      <c r="E29" s="64">
        <v>0</v>
      </c>
      <c r="F29" s="37">
        <v>0</v>
      </c>
      <c r="G29" s="84">
        <v>0</v>
      </c>
      <c r="H29" s="38">
        <f>+G29+F29</f>
        <v>0</v>
      </c>
      <c r="I29" s="33"/>
      <c r="J29" s="421"/>
      <c r="K29" s="35" t="s">
        <v>4</v>
      </c>
      <c r="L29" s="36" t="s">
        <v>8</v>
      </c>
      <c r="M29" s="37">
        <v>0</v>
      </c>
      <c r="N29" s="37">
        <v>0</v>
      </c>
      <c r="O29" s="85">
        <v>0</v>
      </c>
      <c r="P29" s="38">
        <f t="shared" si="1"/>
        <v>0</v>
      </c>
    </row>
    <row r="30" spans="1:18" s="25" customFormat="1" ht="18" customHeight="1" x14ac:dyDescent="0.2">
      <c r="A30" s="437"/>
      <c r="B30" s="438"/>
      <c r="C30" s="438"/>
      <c r="D30" s="438"/>
      <c r="E30" s="438"/>
      <c r="F30" s="438"/>
      <c r="G30" s="438"/>
      <c r="H30" s="439"/>
      <c r="I30" s="33"/>
      <c r="J30" s="419" t="s">
        <v>49</v>
      </c>
      <c r="K30" s="424" t="s">
        <v>10</v>
      </c>
      <c r="L30" s="424"/>
      <c r="M30" s="27">
        <f>M31+M34+M35</f>
        <v>5619431</v>
      </c>
      <c r="N30" s="27">
        <f>N31+N34+N35</f>
        <v>5619431</v>
      </c>
      <c r="O30" s="82">
        <f>O31+O34+O35</f>
        <v>0</v>
      </c>
      <c r="P30" s="34">
        <f>P31+P34+P35</f>
        <v>5619431</v>
      </c>
    </row>
    <row r="31" spans="1:18" s="25" customFormat="1" ht="18" customHeight="1" x14ac:dyDescent="0.2">
      <c r="A31" s="440"/>
      <c r="B31" s="441"/>
      <c r="C31" s="441"/>
      <c r="D31" s="441"/>
      <c r="E31" s="441"/>
      <c r="F31" s="441"/>
      <c r="G31" s="441"/>
      <c r="H31" s="442"/>
      <c r="I31" s="33"/>
      <c r="J31" s="420"/>
      <c r="K31" s="35" t="s">
        <v>1</v>
      </c>
      <c r="L31" s="36" t="s">
        <v>7</v>
      </c>
      <c r="M31" s="37">
        <v>5619431</v>
      </c>
      <c r="N31" s="37">
        <v>5619431</v>
      </c>
      <c r="O31" s="85">
        <v>0</v>
      </c>
      <c r="P31" s="38">
        <f t="shared" si="1"/>
        <v>5619431</v>
      </c>
    </row>
    <row r="32" spans="1:18" s="25" customFormat="1" ht="18" customHeight="1" x14ac:dyDescent="0.2">
      <c r="A32" s="440"/>
      <c r="B32" s="441"/>
      <c r="C32" s="441"/>
      <c r="D32" s="441"/>
      <c r="E32" s="441"/>
      <c r="F32" s="441"/>
      <c r="G32" s="441"/>
      <c r="H32" s="442"/>
      <c r="I32" s="33"/>
      <c r="J32" s="420"/>
      <c r="K32" s="43" t="s">
        <v>79</v>
      </c>
      <c r="L32" s="44" t="s">
        <v>81</v>
      </c>
      <c r="M32" s="86">
        <v>0</v>
      </c>
      <c r="N32" s="86">
        <v>0</v>
      </c>
      <c r="O32" s="85">
        <v>0</v>
      </c>
      <c r="P32" s="38">
        <f t="shared" si="1"/>
        <v>0</v>
      </c>
      <c r="Q32" s="45"/>
      <c r="R32" s="45"/>
    </row>
    <row r="33" spans="1:16" s="25" customFormat="1" ht="18" customHeight="1" x14ac:dyDescent="0.2">
      <c r="A33" s="440"/>
      <c r="B33" s="441"/>
      <c r="C33" s="441"/>
      <c r="D33" s="441"/>
      <c r="E33" s="441"/>
      <c r="F33" s="441"/>
      <c r="G33" s="441"/>
      <c r="H33" s="442"/>
      <c r="I33" s="33"/>
      <c r="J33" s="420"/>
      <c r="K33" s="43" t="s">
        <v>80</v>
      </c>
      <c r="L33" s="44" t="s">
        <v>82</v>
      </c>
      <c r="M33" s="87">
        <v>0</v>
      </c>
      <c r="N33" s="87">
        <v>0</v>
      </c>
      <c r="O33" s="85">
        <v>0</v>
      </c>
      <c r="P33" s="38">
        <f t="shared" si="1"/>
        <v>0</v>
      </c>
    </row>
    <row r="34" spans="1:16" s="25" customFormat="1" ht="18" customHeight="1" x14ac:dyDescent="0.2">
      <c r="A34" s="440"/>
      <c r="B34" s="441"/>
      <c r="C34" s="441"/>
      <c r="D34" s="441"/>
      <c r="E34" s="441"/>
      <c r="F34" s="441"/>
      <c r="G34" s="441"/>
      <c r="H34" s="442"/>
      <c r="I34" s="33"/>
      <c r="J34" s="420"/>
      <c r="K34" s="35" t="s">
        <v>2</v>
      </c>
      <c r="L34" s="36" t="s">
        <v>9</v>
      </c>
      <c r="M34" s="88">
        <v>0</v>
      </c>
      <c r="N34" s="88">
        <v>0</v>
      </c>
      <c r="O34" s="85">
        <v>0</v>
      </c>
      <c r="P34" s="38">
        <f t="shared" si="1"/>
        <v>0</v>
      </c>
    </row>
    <row r="35" spans="1:16" s="25" customFormat="1" ht="18" customHeight="1" x14ac:dyDescent="0.2">
      <c r="A35" s="443"/>
      <c r="B35" s="444"/>
      <c r="C35" s="444"/>
      <c r="D35" s="444"/>
      <c r="E35" s="444"/>
      <c r="F35" s="444"/>
      <c r="G35" s="444"/>
      <c r="H35" s="445"/>
      <c r="I35" s="46"/>
      <c r="J35" s="421"/>
      <c r="K35" s="35" t="s">
        <v>4</v>
      </c>
      <c r="L35" s="36" t="s">
        <v>8</v>
      </c>
      <c r="M35" s="37">
        <v>0</v>
      </c>
      <c r="N35" s="37">
        <v>0</v>
      </c>
      <c r="O35" s="85">
        <v>0</v>
      </c>
      <c r="P35" s="38">
        <f t="shared" si="1"/>
        <v>0</v>
      </c>
    </row>
    <row r="36" spans="1:16" s="25" customFormat="1" ht="18" customHeight="1" x14ac:dyDescent="0.2">
      <c r="A36" s="107" t="s">
        <v>0</v>
      </c>
      <c r="B36" s="405" t="s">
        <v>19</v>
      </c>
      <c r="C36" s="406"/>
      <c r="D36" s="407"/>
      <c r="E36" s="108">
        <f>SUM(E37:E39)</f>
        <v>840000</v>
      </c>
      <c r="F36" s="108">
        <f>+F37+F38+F39</f>
        <v>24750768</v>
      </c>
      <c r="G36" s="108">
        <f>+G37+G38+G39</f>
        <v>434701</v>
      </c>
      <c r="H36" s="108">
        <f>+H37+H38+H39</f>
        <v>25185469</v>
      </c>
      <c r="I36" s="109" t="s">
        <v>0</v>
      </c>
      <c r="J36" s="446" t="s">
        <v>14</v>
      </c>
      <c r="K36" s="447"/>
      <c r="L36" s="447"/>
      <c r="M36" s="110">
        <f>SUM(M37:M39)</f>
        <v>376069048</v>
      </c>
      <c r="N36" s="110">
        <f>+N37+N38+N39</f>
        <v>494437705</v>
      </c>
      <c r="O36" s="110">
        <f>+O37+O38+O39</f>
        <v>2930130</v>
      </c>
      <c r="P36" s="111">
        <f>+P37+P38+P39</f>
        <v>497367835</v>
      </c>
    </row>
    <row r="37" spans="1:16" s="25" customFormat="1" ht="18" customHeight="1" x14ac:dyDescent="0.2">
      <c r="A37" s="112"/>
      <c r="B37" s="448" t="s">
        <v>69</v>
      </c>
      <c r="C37" s="113" t="s">
        <v>1</v>
      </c>
      <c r="D37" s="114" t="s">
        <v>7</v>
      </c>
      <c r="E37" s="115">
        <f>E15+E19+E23+E27</f>
        <v>840000</v>
      </c>
      <c r="F37" s="115">
        <f t="shared" ref="F37:H39" si="2">+F27+F23+F19+F15</f>
        <v>24575768</v>
      </c>
      <c r="G37" s="115">
        <f t="shared" si="2"/>
        <v>344701</v>
      </c>
      <c r="H37" s="115">
        <f t="shared" si="2"/>
        <v>24920469</v>
      </c>
      <c r="I37" s="411"/>
      <c r="J37" s="451" t="s">
        <v>68</v>
      </c>
      <c r="K37" s="113" t="s">
        <v>1</v>
      </c>
      <c r="L37" s="114" t="s">
        <v>7</v>
      </c>
      <c r="M37" s="115">
        <f>M15+M19+M23+M27+M31</f>
        <v>376069048</v>
      </c>
      <c r="N37" s="115">
        <f>+N31+N27+N23+N19+N15</f>
        <v>494437705</v>
      </c>
      <c r="O37" s="115">
        <f>+O31+O27+O23+O19+O15</f>
        <v>2930130</v>
      </c>
      <c r="P37" s="116">
        <f>+P31+P27+P23+P19+P15</f>
        <v>497367835</v>
      </c>
    </row>
    <row r="38" spans="1:16" s="25" customFormat="1" ht="18" customHeight="1" x14ac:dyDescent="0.2">
      <c r="A38" s="112"/>
      <c r="B38" s="449"/>
      <c r="C38" s="113" t="s">
        <v>2</v>
      </c>
      <c r="D38" s="114" t="s">
        <v>9</v>
      </c>
      <c r="E38" s="115">
        <v>0</v>
      </c>
      <c r="F38" s="115">
        <f t="shared" si="2"/>
        <v>0</v>
      </c>
      <c r="G38" s="115">
        <f t="shared" si="2"/>
        <v>0</v>
      </c>
      <c r="H38" s="115">
        <f t="shared" si="2"/>
        <v>0</v>
      </c>
      <c r="I38" s="411"/>
      <c r="J38" s="451"/>
      <c r="K38" s="113" t="s">
        <v>2</v>
      </c>
      <c r="L38" s="114" t="s">
        <v>9</v>
      </c>
      <c r="M38" s="115">
        <f>M16+M20+M24+M28+M34</f>
        <v>0</v>
      </c>
      <c r="N38" s="115">
        <f t="shared" ref="N38:P39" si="3">+N34+N28+N24+N20+N16</f>
        <v>0</v>
      </c>
      <c r="O38" s="115">
        <f t="shared" si="3"/>
        <v>0</v>
      </c>
      <c r="P38" s="116">
        <f t="shared" si="3"/>
        <v>0</v>
      </c>
    </row>
    <row r="39" spans="1:16" s="25" customFormat="1" ht="18" customHeight="1" x14ac:dyDescent="0.2">
      <c r="A39" s="117"/>
      <c r="B39" s="450"/>
      <c r="C39" s="113" t="s">
        <v>4</v>
      </c>
      <c r="D39" s="114" t="s">
        <v>8</v>
      </c>
      <c r="E39" s="115">
        <v>0</v>
      </c>
      <c r="F39" s="115">
        <f t="shared" si="2"/>
        <v>175000</v>
      </c>
      <c r="G39" s="115">
        <f t="shared" si="2"/>
        <v>90000</v>
      </c>
      <c r="H39" s="115">
        <f t="shared" si="2"/>
        <v>265000</v>
      </c>
      <c r="I39" s="412"/>
      <c r="J39" s="451"/>
      <c r="K39" s="113" t="s">
        <v>4</v>
      </c>
      <c r="L39" s="114" t="s">
        <v>8</v>
      </c>
      <c r="M39" s="118">
        <f>M17+M21+M25+M29+M35</f>
        <v>0</v>
      </c>
      <c r="N39" s="118">
        <f t="shared" si="3"/>
        <v>0</v>
      </c>
      <c r="O39" s="118">
        <f t="shared" si="3"/>
        <v>0</v>
      </c>
      <c r="P39" s="119">
        <f t="shared" si="3"/>
        <v>0</v>
      </c>
    </row>
    <row r="40" spans="1:16" s="346" customFormat="1" ht="30.75" customHeight="1" thickBot="1" x14ac:dyDescent="0.25">
      <c r="A40" s="393" t="s">
        <v>83</v>
      </c>
      <c r="B40" s="394"/>
      <c r="C40" s="394"/>
      <c r="D40" s="395"/>
      <c r="E40" s="344">
        <f>M36-E36</f>
        <v>375229048</v>
      </c>
      <c r="F40" s="344">
        <f>N36-F36</f>
        <v>469686937</v>
      </c>
      <c r="G40" s="344">
        <f>O36-G36</f>
        <v>2495429</v>
      </c>
      <c r="H40" s="344">
        <f>P36-H36</f>
        <v>472182366</v>
      </c>
      <c r="I40" s="393" t="s">
        <v>84</v>
      </c>
      <c r="J40" s="394"/>
      <c r="K40" s="394"/>
      <c r="L40" s="395"/>
      <c r="M40" s="343"/>
      <c r="N40" s="90"/>
      <c r="O40" s="345"/>
      <c r="P40" s="97"/>
    </row>
    <row r="41" spans="1:16" s="25" customFormat="1" ht="18" customHeight="1" x14ac:dyDescent="0.2">
      <c r="A41" s="425" t="s">
        <v>40</v>
      </c>
      <c r="B41" s="426"/>
      <c r="C41" s="426"/>
      <c r="D41" s="426"/>
      <c r="E41" s="426"/>
      <c r="F41" s="426"/>
      <c r="G41" s="426"/>
      <c r="H41" s="426"/>
      <c r="I41" s="426"/>
      <c r="J41" s="426"/>
      <c r="K41" s="426"/>
      <c r="L41" s="426"/>
      <c r="M41" s="426"/>
      <c r="N41" s="426"/>
      <c r="O41" s="426"/>
      <c r="P41" s="427"/>
    </row>
    <row r="42" spans="1:16" s="25" customFormat="1" ht="18" customHeight="1" x14ac:dyDescent="0.2">
      <c r="A42" s="26" t="s">
        <v>3</v>
      </c>
      <c r="B42" s="428" t="s">
        <v>20</v>
      </c>
      <c r="C42" s="429"/>
      <c r="D42" s="430"/>
      <c r="E42" s="27">
        <v>0</v>
      </c>
      <c r="F42" s="27">
        <f>F43+F47+F51</f>
        <v>0</v>
      </c>
      <c r="G42" s="82">
        <f>G43+G47+G51</f>
        <v>0</v>
      </c>
      <c r="H42" s="27">
        <f>H43+H47+H51</f>
        <v>0</v>
      </c>
      <c r="I42" s="47" t="s">
        <v>3</v>
      </c>
      <c r="J42" s="431" t="s">
        <v>18</v>
      </c>
      <c r="K42" s="432"/>
      <c r="L42" s="433"/>
      <c r="M42" s="29">
        <f>M43+M47+M51</f>
        <v>635000</v>
      </c>
      <c r="N42" s="29">
        <f>N43+N47+N51</f>
        <v>3135000</v>
      </c>
      <c r="O42" s="83">
        <f>O43+O47+O51</f>
        <v>0</v>
      </c>
      <c r="P42" s="30">
        <f>P43+P47+P51</f>
        <v>3135000</v>
      </c>
    </row>
    <row r="43" spans="1:16" s="25" customFormat="1" ht="18" customHeight="1" x14ac:dyDescent="0.2">
      <c r="A43" s="32"/>
      <c r="B43" s="414" t="s">
        <v>62</v>
      </c>
      <c r="C43" s="434" t="s">
        <v>93</v>
      </c>
      <c r="D43" s="435"/>
      <c r="E43" s="27">
        <v>0</v>
      </c>
      <c r="F43" s="27">
        <f>F44+F45+F46</f>
        <v>0</v>
      </c>
      <c r="G43" s="82">
        <f>G44+G45+G46</f>
        <v>0</v>
      </c>
      <c r="H43" s="27">
        <f>H44+H45+H46</f>
        <v>0</v>
      </c>
      <c r="I43" s="33"/>
      <c r="J43" s="419" t="s">
        <v>51</v>
      </c>
      <c r="K43" s="422" t="s">
        <v>11</v>
      </c>
      <c r="L43" s="423"/>
      <c r="M43" s="27">
        <f>SUM(M44:M46)</f>
        <v>635000</v>
      </c>
      <c r="N43" s="27">
        <f>N44+N45+N46</f>
        <v>3135000</v>
      </c>
      <c r="O43" s="82">
        <f>O44+O45+O46</f>
        <v>0</v>
      </c>
      <c r="P43" s="34">
        <f>P44+P45+P46</f>
        <v>3135000</v>
      </c>
    </row>
    <row r="44" spans="1:16" s="25" customFormat="1" ht="18" customHeight="1" x14ac:dyDescent="0.2">
      <c r="A44" s="32"/>
      <c r="B44" s="415"/>
      <c r="C44" s="35" t="s">
        <v>1</v>
      </c>
      <c r="D44" s="36" t="s">
        <v>7</v>
      </c>
      <c r="E44" s="37">
        <v>0</v>
      </c>
      <c r="F44" s="37">
        <v>0</v>
      </c>
      <c r="G44" s="84">
        <v>0</v>
      </c>
      <c r="H44" s="38">
        <f>+G44+F44</f>
        <v>0</v>
      </c>
      <c r="I44" s="33"/>
      <c r="J44" s="420"/>
      <c r="K44" s="35" t="s">
        <v>1</v>
      </c>
      <c r="L44" s="36" t="s">
        <v>7</v>
      </c>
      <c r="M44" s="37">
        <v>635000</v>
      </c>
      <c r="N44" s="37">
        <v>3135000</v>
      </c>
      <c r="O44" s="85">
        <v>0</v>
      </c>
      <c r="P44" s="38">
        <f>+O44+N44</f>
        <v>3135000</v>
      </c>
    </row>
    <row r="45" spans="1:16" s="25" customFormat="1" ht="18" customHeight="1" x14ac:dyDescent="0.2">
      <c r="A45" s="32"/>
      <c r="B45" s="415"/>
      <c r="C45" s="35" t="s">
        <v>2</v>
      </c>
      <c r="D45" s="36" t="s">
        <v>9</v>
      </c>
      <c r="E45" s="37">
        <v>0</v>
      </c>
      <c r="F45" s="37">
        <v>0</v>
      </c>
      <c r="G45" s="84">
        <v>0</v>
      </c>
      <c r="H45" s="38">
        <f>+G45+F45</f>
        <v>0</v>
      </c>
      <c r="I45" s="33"/>
      <c r="J45" s="420"/>
      <c r="K45" s="35" t="s">
        <v>2</v>
      </c>
      <c r="L45" s="36" t="s">
        <v>9</v>
      </c>
      <c r="M45" s="37">
        <v>0</v>
      </c>
      <c r="N45" s="37">
        <v>0</v>
      </c>
      <c r="O45" s="85">
        <v>0</v>
      </c>
      <c r="P45" s="38">
        <f>+O45+N45</f>
        <v>0</v>
      </c>
    </row>
    <row r="46" spans="1:16" s="25" customFormat="1" ht="18" customHeight="1" x14ac:dyDescent="0.2">
      <c r="A46" s="32"/>
      <c r="B46" s="416"/>
      <c r="C46" s="35" t="s">
        <v>4</v>
      </c>
      <c r="D46" s="36" t="s">
        <v>8</v>
      </c>
      <c r="E46" s="37">
        <v>0</v>
      </c>
      <c r="F46" s="37">
        <v>0</v>
      </c>
      <c r="G46" s="84">
        <v>0</v>
      </c>
      <c r="H46" s="38">
        <f>+G46+F46</f>
        <v>0</v>
      </c>
      <c r="I46" s="33"/>
      <c r="J46" s="421"/>
      <c r="K46" s="35" t="s">
        <v>4</v>
      </c>
      <c r="L46" s="36" t="s">
        <v>8</v>
      </c>
      <c r="M46" s="37">
        <v>0</v>
      </c>
      <c r="N46" s="37">
        <v>0</v>
      </c>
      <c r="O46" s="85">
        <v>0</v>
      </c>
      <c r="P46" s="38">
        <f>+O46+N46</f>
        <v>0</v>
      </c>
    </row>
    <row r="47" spans="1:16" s="25" customFormat="1" ht="18" customHeight="1" x14ac:dyDescent="0.2">
      <c r="A47" s="32"/>
      <c r="B47" s="414" t="s">
        <v>65</v>
      </c>
      <c r="C47" s="417" t="s">
        <v>21</v>
      </c>
      <c r="D47" s="418"/>
      <c r="E47" s="27">
        <v>0</v>
      </c>
      <c r="F47" s="27">
        <f>F48+F49+F50</f>
        <v>0</v>
      </c>
      <c r="G47" s="82">
        <f>G48+G49+G50</f>
        <v>0</v>
      </c>
      <c r="H47" s="27">
        <f>H48+H49+H50</f>
        <v>0</v>
      </c>
      <c r="I47" s="33"/>
      <c r="J47" s="419" t="s">
        <v>52</v>
      </c>
      <c r="K47" s="417" t="s">
        <v>12</v>
      </c>
      <c r="L47" s="418"/>
      <c r="M47" s="27">
        <f>SUM(M48:M50)</f>
        <v>0</v>
      </c>
      <c r="N47" s="27">
        <f>N48+N49+N50</f>
        <v>0</v>
      </c>
      <c r="O47" s="82">
        <f>O48+O49+O50</f>
        <v>0</v>
      </c>
      <c r="P47" s="34">
        <f>P48+P49+P50</f>
        <v>0</v>
      </c>
    </row>
    <row r="48" spans="1:16" s="25" customFormat="1" ht="18" customHeight="1" x14ac:dyDescent="0.2">
      <c r="A48" s="32"/>
      <c r="B48" s="415"/>
      <c r="C48" s="35" t="s">
        <v>1</v>
      </c>
      <c r="D48" s="36" t="s">
        <v>7</v>
      </c>
      <c r="E48" s="37">
        <v>0</v>
      </c>
      <c r="F48" s="37">
        <v>0</v>
      </c>
      <c r="G48" s="84">
        <v>0</v>
      </c>
      <c r="H48" s="38">
        <f>+G48+F48</f>
        <v>0</v>
      </c>
      <c r="I48" s="33"/>
      <c r="J48" s="420"/>
      <c r="K48" s="35" t="s">
        <v>1</v>
      </c>
      <c r="L48" s="36" t="s">
        <v>7</v>
      </c>
      <c r="M48" s="37">
        <v>0</v>
      </c>
      <c r="N48" s="37">
        <v>0</v>
      </c>
      <c r="O48" s="85">
        <v>0</v>
      </c>
      <c r="P48" s="38">
        <f>+O48+N48</f>
        <v>0</v>
      </c>
    </row>
    <row r="49" spans="1:16" s="25" customFormat="1" ht="18" customHeight="1" x14ac:dyDescent="0.2">
      <c r="A49" s="32"/>
      <c r="B49" s="415"/>
      <c r="C49" s="35" t="s">
        <v>2</v>
      </c>
      <c r="D49" s="36" t="s">
        <v>9</v>
      </c>
      <c r="E49" s="37">
        <v>0</v>
      </c>
      <c r="F49" s="37">
        <v>0</v>
      </c>
      <c r="G49" s="84">
        <v>0</v>
      </c>
      <c r="H49" s="38">
        <f>+G49+F49</f>
        <v>0</v>
      </c>
      <c r="I49" s="33"/>
      <c r="J49" s="420"/>
      <c r="K49" s="35" t="s">
        <v>2</v>
      </c>
      <c r="L49" s="36" t="s">
        <v>9</v>
      </c>
      <c r="M49" s="37">
        <v>0</v>
      </c>
      <c r="N49" s="37">
        <v>0</v>
      </c>
      <c r="O49" s="85">
        <v>0</v>
      </c>
      <c r="P49" s="38">
        <f>+O49+N49</f>
        <v>0</v>
      </c>
    </row>
    <row r="50" spans="1:16" s="25" customFormat="1" ht="18" customHeight="1" x14ac:dyDescent="0.2">
      <c r="A50" s="32"/>
      <c r="B50" s="416"/>
      <c r="C50" s="35" t="s">
        <v>4</v>
      </c>
      <c r="D50" s="36" t="s">
        <v>8</v>
      </c>
      <c r="E50" s="37">
        <v>0</v>
      </c>
      <c r="F50" s="37">
        <v>0</v>
      </c>
      <c r="G50" s="84">
        <v>0</v>
      </c>
      <c r="H50" s="38">
        <f>+G50+F50</f>
        <v>0</v>
      </c>
      <c r="I50" s="33"/>
      <c r="J50" s="421"/>
      <c r="K50" s="35" t="s">
        <v>4</v>
      </c>
      <c r="L50" s="36" t="s">
        <v>8</v>
      </c>
      <c r="M50" s="37">
        <v>0</v>
      </c>
      <c r="N50" s="37">
        <v>0</v>
      </c>
      <c r="O50" s="85">
        <v>0</v>
      </c>
      <c r="P50" s="38">
        <f>+O50+N50</f>
        <v>0</v>
      </c>
    </row>
    <row r="51" spans="1:16" s="25" customFormat="1" ht="18" customHeight="1" x14ac:dyDescent="0.2">
      <c r="A51" s="32"/>
      <c r="B51" s="414" t="s">
        <v>67</v>
      </c>
      <c r="C51" s="422" t="s">
        <v>43</v>
      </c>
      <c r="D51" s="423"/>
      <c r="E51" s="27">
        <v>0</v>
      </c>
      <c r="F51" s="27">
        <f>F52+F53+F54</f>
        <v>0</v>
      </c>
      <c r="G51" s="82">
        <f>G52+G53+G54</f>
        <v>0</v>
      </c>
      <c r="H51" s="27">
        <f>H52+H53+H54</f>
        <v>0</v>
      </c>
      <c r="I51" s="33"/>
      <c r="J51" s="419" t="s">
        <v>53</v>
      </c>
      <c r="K51" s="424" t="s">
        <v>54</v>
      </c>
      <c r="L51" s="424"/>
      <c r="M51" s="27">
        <f>SUM(M52:M54)</f>
        <v>0</v>
      </c>
      <c r="N51" s="27">
        <f>N52+N53+N54</f>
        <v>0</v>
      </c>
      <c r="O51" s="82">
        <f>O52+O53+O54</f>
        <v>0</v>
      </c>
      <c r="P51" s="34">
        <f>P52+P53+P54</f>
        <v>0</v>
      </c>
    </row>
    <row r="52" spans="1:16" s="25" customFormat="1" ht="18" customHeight="1" x14ac:dyDescent="0.2">
      <c r="A52" s="32"/>
      <c r="B52" s="415"/>
      <c r="C52" s="35" t="s">
        <v>1</v>
      </c>
      <c r="D52" s="36" t="s">
        <v>7</v>
      </c>
      <c r="E52" s="37">
        <v>0</v>
      </c>
      <c r="F52" s="37">
        <v>0</v>
      </c>
      <c r="G52" s="84">
        <v>0</v>
      </c>
      <c r="H52" s="38">
        <f>+G52+F52</f>
        <v>0</v>
      </c>
      <c r="I52" s="33"/>
      <c r="J52" s="420"/>
      <c r="K52" s="35" t="s">
        <v>1</v>
      </c>
      <c r="L52" s="36" t="s">
        <v>7</v>
      </c>
      <c r="M52" s="37">
        <v>0</v>
      </c>
      <c r="N52" s="37">
        <v>0</v>
      </c>
      <c r="O52" s="85">
        <v>0</v>
      </c>
      <c r="P52" s="38">
        <f>+O52+N52</f>
        <v>0</v>
      </c>
    </row>
    <row r="53" spans="1:16" s="25" customFormat="1" ht="18" customHeight="1" x14ac:dyDescent="0.2">
      <c r="A53" s="32"/>
      <c r="B53" s="415"/>
      <c r="C53" s="35" t="s">
        <v>2</v>
      </c>
      <c r="D53" s="36" t="s">
        <v>9</v>
      </c>
      <c r="E53" s="37">
        <v>0</v>
      </c>
      <c r="F53" s="37">
        <v>0</v>
      </c>
      <c r="G53" s="84">
        <v>0</v>
      </c>
      <c r="H53" s="38">
        <f>+G53+F53</f>
        <v>0</v>
      </c>
      <c r="I53" s="33"/>
      <c r="J53" s="420"/>
      <c r="K53" s="35" t="s">
        <v>2</v>
      </c>
      <c r="L53" s="36" t="s">
        <v>9</v>
      </c>
      <c r="M53" s="37">
        <v>0</v>
      </c>
      <c r="N53" s="37">
        <v>0</v>
      </c>
      <c r="O53" s="85">
        <v>0</v>
      </c>
      <c r="P53" s="38">
        <f>+O53+N53</f>
        <v>0</v>
      </c>
    </row>
    <row r="54" spans="1:16" s="25" customFormat="1" ht="18" customHeight="1" x14ac:dyDescent="0.2">
      <c r="A54" s="42"/>
      <c r="B54" s="416"/>
      <c r="C54" s="35" t="s">
        <v>4</v>
      </c>
      <c r="D54" s="36" t="s">
        <v>8</v>
      </c>
      <c r="E54" s="37">
        <v>0</v>
      </c>
      <c r="F54" s="37">
        <v>0</v>
      </c>
      <c r="G54" s="84">
        <v>0</v>
      </c>
      <c r="H54" s="38">
        <f>+G54+F54</f>
        <v>0</v>
      </c>
      <c r="I54" s="46"/>
      <c r="J54" s="421"/>
      <c r="K54" s="35" t="s">
        <v>4</v>
      </c>
      <c r="L54" s="36" t="s">
        <v>8</v>
      </c>
      <c r="M54" s="37">
        <v>0</v>
      </c>
      <c r="N54" s="37">
        <v>0</v>
      </c>
      <c r="O54" s="85">
        <v>0</v>
      </c>
      <c r="P54" s="38">
        <f>+O54+N54</f>
        <v>0</v>
      </c>
    </row>
    <row r="55" spans="1:16" s="25" customFormat="1" ht="18" customHeight="1" x14ac:dyDescent="0.2">
      <c r="A55" s="120" t="s">
        <v>3</v>
      </c>
      <c r="B55" s="396" t="s">
        <v>22</v>
      </c>
      <c r="C55" s="397"/>
      <c r="D55" s="398"/>
      <c r="E55" s="110">
        <v>0</v>
      </c>
      <c r="F55" s="110">
        <f>F56+F57+F58</f>
        <v>0</v>
      </c>
      <c r="G55" s="110">
        <f>G56+G57+G58</f>
        <v>0</v>
      </c>
      <c r="H55" s="110">
        <f>H56+H57+H58</f>
        <v>0</v>
      </c>
      <c r="I55" s="121" t="s">
        <v>3</v>
      </c>
      <c r="J55" s="396" t="s">
        <v>15</v>
      </c>
      <c r="K55" s="397"/>
      <c r="L55" s="398"/>
      <c r="M55" s="110">
        <f>SUM(M56:M58)</f>
        <v>635000</v>
      </c>
      <c r="N55" s="110">
        <f>N56+N57+N58</f>
        <v>3135000</v>
      </c>
      <c r="O55" s="110">
        <f>O56+O57+O58</f>
        <v>0</v>
      </c>
      <c r="P55" s="111">
        <f>P56+P57+P58</f>
        <v>3135000</v>
      </c>
    </row>
    <row r="56" spans="1:16" s="25" customFormat="1" ht="18" customHeight="1" x14ac:dyDescent="0.2">
      <c r="A56" s="112"/>
      <c r="B56" s="399" t="s">
        <v>70</v>
      </c>
      <c r="C56" s="113" t="s">
        <v>1</v>
      </c>
      <c r="D56" s="114" t="s">
        <v>7</v>
      </c>
      <c r="E56" s="122">
        <v>0</v>
      </c>
      <c r="F56" s="122">
        <f t="shared" ref="F56:H58" si="4">F44+F48+F52</f>
        <v>0</v>
      </c>
      <c r="G56" s="115">
        <f t="shared" si="4"/>
        <v>0</v>
      </c>
      <c r="H56" s="115">
        <f t="shared" si="4"/>
        <v>0</v>
      </c>
      <c r="I56" s="123"/>
      <c r="J56" s="401" t="s">
        <v>55</v>
      </c>
      <c r="K56" s="113" t="s">
        <v>1</v>
      </c>
      <c r="L56" s="114" t="s">
        <v>7</v>
      </c>
      <c r="M56" s="115">
        <f>M44+M48+M52</f>
        <v>635000</v>
      </c>
      <c r="N56" s="115">
        <f t="shared" ref="N56:P58" si="5">N44+N48+N52</f>
        <v>3135000</v>
      </c>
      <c r="O56" s="115">
        <f t="shared" si="5"/>
        <v>0</v>
      </c>
      <c r="P56" s="116">
        <f t="shared" si="5"/>
        <v>3135000</v>
      </c>
    </row>
    <row r="57" spans="1:16" s="25" customFormat="1" ht="18" customHeight="1" x14ac:dyDescent="0.2">
      <c r="A57" s="112"/>
      <c r="B57" s="400"/>
      <c r="C57" s="113" t="s">
        <v>2</v>
      </c>
      <c r="D57" s="114" t="s">
        <v>9</v>
      </c>
      <c r="E57" s="122">
        <v>0</v>
      </c>
      <c r="F57" s="122">
        <f t="shared" si="4"/>
        <v>0</v>
      </c>
      <c r="G57" s="115">
        <f t="shared" si="4"/>
        <v>0</v>
      </c>
      <c r="H57" s="115">
        <f t="shared" si="4"/>
        <v>0</v>
      </c>
      <c r="I57" s="123"/>
      <c r="J57" s="401"/>
      <c r="K57" s="113" t="s">
        <v>2</v>
      </c>
      <c r="L57" s="114" t="s">
        <v>9</v>
      </c>
      <c r="M57" s="115">
        <f>M45+M49+M53</f>
        <v>0</v>
      </c>
      <c r="N57" s="115">
        <f t="shared" si="5"/>
        <v>0</v>
      </c>
      <c r="O57" s="115">
        <f t="shared" si="5"/>
        <v>0</v>
      </c>
      <c r="P57" s="116">
        <f t="shared" si="5"/>
        <v>0</v>
      </c>
    </row>
    <row r="58" spans="1:16" s="25" customFormat="1" ht="18" customHeight="1" x14ac:dyDescent="0.2">
      <c r="A58" s="112"/>
      <c r="B58" s="400"/>
      <c r="C58" s="124" t="s">
        <v>4</v>
      </c>
      <c r="D58" s="125" t="s">
        <v>8</v>
      </c>
      <c r="E58" s="115">
        <v>0</v>
      </c>
      <c r="F58" s="115">
        <f t="shared" si="4"/>
        <v>0</v>
      </c>
      <c r="G58" s="115">
        <f t="shared" si="4"/>
        <v>0</v>
      </c>
      <c r="H58" s="115">
        <f t="shared" si="4"/>
        <v>0</v>
      </c>
      <c r="I58" s="123"/>
      <c r="J58" s="402"/>
      <c r="K58" s="124" t="s">
        <v>4</v>
      </c>
      <c r="L58" s="125" t="s">
        <v>8</v>
      </c>
      <c r="M58" s="118">
        <f>M46+M50+M54</f>
        <v>0</v>
      </c>
      <c r="N58" s="118">
        <f t="shared" si="5"/>
        <v>0</v>
      </c>
      <c r="O58" s="118">
        <f t="shared" si="5"/>
        <v>0</v>
      </c>
      <c r="P58" s="119">
        <f t="shared" si="5"/>
        <v>0</v>
      </c>
    </row>
    <row r="59" spans="1:16" s="351" customFormat="1" ht="31.5" customHeight="1" thickBot="1" x14ac:dyDescent="0.25">
      <c r="A59" s="403" t="s">
        <v>85</v>
      </c>
      <c r="B59" s="404"/>
      <c r="C59" s="404"/>
      <c r="D59" s="404"/>
      <c r="E59" s="347">
        <f>M55-E55</f>
        <v>635000</v>
      </c>
      <c r="F59" s="347">
        <f>N55-F55</f>
        <v>3135000</v>
      </c>
      <c r="G59" s="347">
        <f>O55-G55</f>
        <v>0</v>
      </c>
      <c r="H59" s="347">
        <f>P55-H55</f>
        <v>3135000</v>
      </c>
      <c r="I59" s="403" t="s">
        <v>86</v>
      </c>
      <c r="J59" s="404"/>
      <c r="K59" s="404"/>
      <c r="L59" s="404"/>
      <c r="M59" s="348"/>
      <c r="N59" s="348"/>
      <c r="O59" s="349"/>
      <c r="P59" s="350"/>
    </row>
    <row r="60" spans="1:16" s="25" customFormat="1" ht="18" customHeight="1" x14ac:dyDescent="0.2">
      <c r="A60" s="107" t="s">
        <v>29</v>
      </c>
      <c r="B60" s="405" t="s">
        <v>30</v>
      </c>
      <c r="C60" s="406"/>
      <c r="D60" s="407"/>
      <c r="E60" s="126">
        <f>SUM(E61:E63)</f>
        <v>840000</v>
      </c>
      <c r="F60" s="126">
        <f>F61+F62+F63</f>
        <v>24750768</v>
      </c>
      <c r="G60" s="126">
        <f>G61+G62+G63</f>
        <v>434701</v>
      </c>
      <c r="H60" s="126">
        <f>H61+H62+H63</f>
        <v>25185469</v>
      </c>
      <c r="I60" s="127" t="s">
        <v>29</v>
      </c>
      <c r="J60" s="408" t="s">
        <v>32</v>
      </c>
      <c r="K60" s="409"/>
      <c r="L60" s="409"/>
      <c r="M60" s="128">
        <f>SUM(M61:M63)</f>
        <v>376704048</v>
      </c>
      <c r="N60" s="128">
        <f>N61+N62+N63</f>
        <v>497572705</v>
      </c>
      <c r="O60" s="128">
        <f>O61+O62+O63</f>
        <v>2930130</v>
      </c>
      <c r="P60" s="129">
        <f>P61+P62+P63</f>
        <v>500502835</v>
      </c>
    </row>
    <row r="61" spans="1:16" s="25" customFormat="1" ht="18" customHeight="1" x14ac:dyDescent="0.2">
      <c r="A61" s="112"/>
      <c r="B61" s="381" t="s">
        <v>72</v>
      </c>
      <c r="C61" s="113" t="s">
        <v>1</v>
      </c>
      <c r="D61" s="114" t="s">
        <v>7</v>
      </c>
      <c r="E61" s="118">
        <f t="shared" ref="E61:H63" si="6">E37+E56</f>
        <v>840000</v>
      </c>
      <c r="F61" s="118">
        <f t="shared" si="6"/>
        <v>24575768</v>
      </c>
      <c r="G61" s="118">
        <f t="shared" si="6"/>
        <v>344701</v>
      </c>
      <c r="H61" s="118">
        <f t="shared" si="6"/>
        <v>24920469</v>
      </c>
      <c r="I61" s="411"/>
      <c r="J61" s="413" t="s">
        <v>71</v>
      </c>
      <c r="K61" s="113" t="s">
        <v>1</v>
      </c>
      <c r="L61" s="114" t="s">
        <v>7</v>
      </c>
      <c r="M61" s="118">
        <f>M37+M56</f>
        <v>376704048</v>
      </c>
      <c r="N61" s="118">
        <f>N37+N56</f>
        <v>497572705</v>
      </c>
      <c r="O61" s="118">
        <f t="shared" ref="N61:P63" si="7">O37+O56</f>
        <v>2930130</v>
      </c>
      <c r="P61" s="119">
        <f t="shared" si="7"/>
        <v>500502835</v>
      </c>
    </row>
    <row r="62" spans="1:16" s="25" customFormat="1" ht="18" customHeight="1" x14ac:dyDescent="0.2">
      <c r="A62" s="112"/>
      <c r="B62" s="382"/>
      <c r="C62" s="113" t="s">
        <v>2</v>
      </c>
      <c r="D62" s="114" t="s">
        <v>9</v>
      </c>
      <c r="E62" s="118">
        <f t="shared" si="6"/>
        <v>0</v>
      </c>
      <c r="F62" s="118">
        <f t="shared" si="6"/>
        <v>0</v>
      </c>
      <c r="G62" s="118">
        <f t="shared" si="6"/>
        <v>0</v>
      </c>
      <c r="H62" s="118">
        <f t="shared" si="6"/>
        <v>0</v>
      </c>
      <c r="I62" s="411"/>
      <c r="J62" s="413"/>
      <c r="K62" s="113" t="s">
        <v>2</v>
      </c>
      <c r="L62" s="114" t="s">
        <v>9</v>
      </c>
      <c r="M62" s="118">
        <f>M38+M57</f>
        <v>0</v>
      </c>
      <c r="N62" s="118">
        <f t="shared" si="7"/>
        <v>0</v>
      </c>
      <c r="O62" s="118">
        <f t="shared" si="7"/>
        <v>0</v>
      </c>
      <c r="P62" s="119">
        <f t="shared" si="7"/>
        <v>0</v>
      </c>
    </row>
    <row r="63" spans="1:16" s="25" customFormat="1" ht="18" customHeight="1" x14ac:dyDescent="0.2">
      <c r="A63" s="117"/>
      <c r="B63" s="410"/>
      <c r="C63" s="113" t="s">
        <v>4</v>
      </c>
      <c r="D63" s="114" t="s">
        <v>8</v>
      </c>
      <c r="E63" s="115">
        <f t="shared" si="6"/>
        <v>0</v>
      </c>
      <c r="F63" s="115">
        <f>F39+F58</f>
        <v>175000</v>
      </c>
      <c r="G63" s="115">
        <f t="shared" si="6"/>
        <v>90000</v>
      </c>
      <c r="H63" s="115">
        <f t="shared" si="6"/>
        <v>265000</v>
      </c>
      <c r="I63" s="412"/>
      <c r="J63" s="413"/>
      <c r="K63" s="113" t="s">
        <v>4</v>
      </c>
      <c r="L63" s="114" t="s">
        <v>8</v>
      </c>
      <c r="M63" s="115">
        <f>M39+M58</f>
        <v>0</v>
      </c>
      <c r="N63" s="115">
        <f t="shared" si="7"/>
        <v>0</v>
      </c>
      <c r="O63" s="115">
        <f t="shared" si="7"/>
        <v>0</v>
      </c>
      <c r="P63" s="116">
        <f t="shared" si="7"/>
        <v>0</v>
      </c>
    </row>
    <row r="64" spans="1:16" s="351" customFormat="1" ht="30" customHeight="1" thickBot="1" x14ac:dyDescent="0.25">
      <c r="A64" s="393" t="s">
        <v>59</v>
      </c>
      <c r="B64" s="394"/>
      <c r="C64" s="394"/>
      <c r="D64" s="395"/>
      <c r="E64" s="347">
        <f>M60-E60</f>
        <v>375864048</v>
      </c>
      <c r="F64" s="347">
        <f>N60-F60</f>
        <v>472821937</v>
      </c>
      <c r="G64" s="347">
        <f>O60-G60</f>
        <v>2495429</v>
      </c>
      <c r="H64" s="347">
        <f>P60-H60</f>
        <v>475317366</v>
      </c>
      <c r="I64" s="393" t="s">
        <v>60</v>
      </c>
      <c r="J64" s="394"/>
      <c r="K64" s="394"/>
      <c r="L64" s="395"/>
      <c r="M64" s="91"/>
      <c r="N64" s="91"/>
      <c r="O64" s="352"/>
      <c r="P64" s="353"/>
    </row>
    <row r="65" spans="1:16" s="25" customFormat="1" ht="18" customHeight="1" x14ac:dyDescent="0.2">
      <c r="A65" s="48" t="s">
        <v>33</v>
      </c>
      <c r="B65" s="550" t="s">
        <v>31</v>
      </c>
      <c r="C65" s="551"/>
      <c r="D65" s="552"/>
      <c r="E65" s="49">
        <f>SUM(E66:E67)</f>
        <v>375864048</v>
      </c>
      <c r="F65" s="49">
        <f>F66+F67</f>
        <v>472821937</v>
      </c>
      <c r="G65" s="49">
        <f>G66+G67</f>
        <v>2495429</v>
      </c>
      <c r="H65" s="49">
        <f>H66+H67</f>
        <v>475317366</v>
      </c>
      <c r="I65" s="50" t="s">
        <v>33</v>
      </c>
      <c r="J65" s="385" t="s">
        <v>44</v>
      </c>
      <c r="K65" s="386"/>
      <c r="L65" s="387"/>
      <c r="M65" s="51">
        <v>0</v>
      </c>
      <c r="N65" s="51">
        <f>N66+N67</f>
        <v>0</v>
      </c>
      <c r="O65" s="51">
        <f>O66+O67</f>
        <v>0</v>
      </c>
      <c r="P65" s="52">
        <f>P66+P67</f>
        <v>0</v>
      </c>
    </row>
    <row r="66" spans="1:16" s="25" customFormat="1" ht="18" customHeight="1" x14ac:dyDescent="0.2">
      <c r="A66" s="53"/>
      <c r="B66" s="388" t="s">
        <v>61</v>
      </c>
      <c r="C66" s="35" t="s">
        <v>1</v>
      </c>
      <c r="D66" s="36" t="s">
        <v>73</v>
      </c>
      <c r="E66" s="37">
        <v>5619431</v>
      </c>
      <c r="F66" s="37">
        <v>28961984</v>
      </c>
      <c r="G66" s="84">
        <v>0</v>
      </c>
      <c r="H66" s="38">
        <f>+G66+F66</f>
        <v>28961984</v>
      </c>
      <c r="I66" s="53"/>
      <c r="J66" s="388" t="s">
        <v>56</v>
      </c>
      <c r="K66" s="35" t="s">
        <v>1</v>
      </c>
      <c r="L66" s="36"/>
      <c r="M66" s="37"/>
      <c r="N66" s="37"/>
      <c r="O66" s="89"/>
      <c r="P66" s="38"/>
    </row>
    <row r="67" spans="1:16" s="25" customFormat="1" ht="18" customHeight="1" x14ac:dyDescent="0.2">
      <c r="A67" s="53"/>
      <c r="B67" s="389"/>
      <c r="C67" s="35" t="s">
        <v>2</v>
      </c>
      <c r="D67" s="36" t="s">
        <v>76</v>
      </c>
      <c r="E67" s="37">
        <v>370244617</v>
      </c>
      <c r="F67" s="37">
        <v>443859953</v>
      </c>
      <c r="G67" s="84">
        <v>2495429</v>
      </c>
      <c r="H67" s="38">
        <f>+G67+F67</f>
        <v>446355382</v>
      </c>
      <c r="I67" s="53"/>
      <c r="J67" s="389"/>
      <c r="K67" s="35" t="s">
        <v>2</v>
      </c>
      <c r="L67" s="36"/>
      <c r="M67" s="37"/>
      <c r="N67" s="37"/>
      <c r="O67" s="89"/>
      <c r="P67" s="38"/>
    </row>
    <row r="68" spans="1:16" s="54" customFormat="1" ht="18" customHeight="1" x14ac:dyDescent="0.2">
      <c r="A68" s="120" t="s">
        <v>34</v>
      </c>
      <c r="B68" s="390" t="s">
        <v>90</v>
      </c>
      <c r="C68" s="391"/>
      <c r="D68" s="392"/>
      <c r="E68" s="110">
        <f>E69+E70+E71</f>
        <v>376704048</v>
      </c>
      <c r="F68" s="110">
        <f>F69+F70+F71</f>
        <v>497572705</v>
      </c>
      <c r="G68" s="110">
        <f>G69+G70+G71</f>
        <v>2930130</v>
      </c>
      <c r="H68" s="110">
        <f>H69+H70+H71</f>
        <v>500502835</v>
      </c>
      <c r="I68" s="121" t="s">
        <v>34</v>
      </c>
      <c r="J68" s="390" t="s">
        <v>91</v>
      </c>
      <c r="K68" s="391"/>
      <c r="L68" s="392"/>
      <c r="M68" s="110">
        <f>SUM(M69:M71)</f>
        <v>376704048</v>
      </c>
      <c r="N68" s="110">
        <f>N69+N70+N71</f>
        <v>497572705</v>
      </c>
      <c r="O68" s="110">
        <f>O69+O70+O71</f>
        <v>2930130</v>
      </c>
      <c r="P68" s="111">
        <f>P69+P70+P71</f>
        <v>500502835</v>
      </c>
    </row>
    <row r="69" spans="1:16" s="54" customFormat="1" ht="18" customHeight="1" x14ac:dyDescent="0.2">
      <c r="A69" s="130"/>
      <c r="B69" s="381" t="s">
        <v>58</v>
      </c>
      <c r="C69" s="113" t="s">
        <v>1</v>
      </c>
      <c r="D69" s="114" t="s">
        <v>7</v>
      </c>
      <c r="E69" s="115">
        <f>E61+E66+E67</f>
        <v>376704048</v>
      </c>
      <c r="F69" s="115">
        <f>F61+F66+F67</f>
        <v>497397705</v>
      </c>
      <c r="G69" s="115">
        <f>G61+G66+G67</f>
        <v>2840130</v>
      </c>
      <c r="H69" s="115">
        <f>H61+H66+H67</f>
        <v>500237835</v>
      </c>
      <c r="I69" s="131"/>
      <c r="J69" s="381" t="s">
        <v>57</v>
      </c>
      <c r="K69" s="113" t="s">
        <v>1</v>
      </c>
      <c r="L69" s="114" t="s">
        <v>7</v>
      </c>
      <c r="M69" s="115">
        <f>M61</f>
        <v>376704048</v>
      </c>
      <c r="N69" s="115">
        <f>N61+N66+N67</f>
        <v>497572705</v>
      </c>
      <c r="O69" s="115">
        <f>O61+O66+O67</f>
        <v>2930130</v>
      </c>
      <c r="P69" s="116">
        <f>P61+P66+P67</f>
        <v>500502835</v>
      </c>
    </row>
    <row r="70" spans="1:16" s="54" customFormat="1" ht="18" customHeight="1" x14ac:dyDescent="0.2">
      <c r="A70" s="130"/>
      <c r="B70" s="382"/>
      <c r="C70" s="113" t="s">
        <v>2</v>
      </c>
      <c r="D70" s="114" t="s">
        <v>9</v>
      </c>
      <c r="E70" s="115">
        <v>0</v>
      </c>
      <c r="F70" s="115">
        <f t="shared" ref="F70:H71" si="8">F62</f>
        <v>0</v>
      </c>
      <c r="G70" s="115">
        <f t="shared" si="8"/>
        <v>0</v>
      </c>
      <c r="H70" s="115">
        <f t="shared" si="8"/>
        <v>0</v>
      </c>
      <c r="I70" s="131"/>
      <c r="J70" s="382"/>
      <c r="K70" s="113" t="s">
        <v>2</v>
      </c>
      <c r="L70" s="114" t="s">
        <v>9</v>
      </c>
      <c r="M70" s="115">
        <v>0</v>
      </c>
      <c r="N70" s="115">
        <f t="shared" ref="N70:P71" si="9">N62</f>
        <v>0</v>
      </c>
      <c r="O70" s="115">
        <f t="shared" si="9"/>
        <v>0</v>
      </c>
      <c r="P70" s="116">
        <f t="shared" si="9"/>
        <v>0</v>
      </c>
    </row>
    <row r="71" spans="1:16" s="54" customFormat="1" ht="18" customHeight="1" thickBot="1" x14ac:dyDescent="0.25">
      <c r="A71" s="132"/>
      <c r="B71" s="383"/>
      <c r="C71" s="133" t="s">
        <v>4</v>
      </c>
      <c r="D71" s="134" t="s">
        <v>8</v>
      </c>
      <c r="E71" s="135">
        <v>0</v>
      </c>
      <c r="F71" s="135">
        <f t="shared" si="8"/>
        <v>175000</v>
      </c>
      <c r="G71" s="135">
        <f t="shared" si="8"/>
        <v>90000</v>
      </c>
      <c r="H71" s="135">
        <f t="shared" si="8"/>
        <v>265000</v>
      </c>
      <c r="I71" s="136"/>
      <c r="J71" s="383"/>
      <c r="K71" s="133" t="s">
        <v>4</v>
      </c>
      <c r="L71" s="134" t="s">
        <v>8</v>
      </c>
      <c r="M71" s="135">
        <v>0</v>
      </c>
      <c r="N71" s="135">
        <f t="shared" si="9"/>
        <v>0</v>
      </c>
      <c r="O71" s="135">
        <f t="shared" si="9"/>
        <v>0</v>
      </c>
      <c r="P71" s="137">
        <f t="shared" si="9"/>
        <v>0</v>
      </c>
    </row>
    <row r="74" spans="1:16" x14ac:dyDescent="0.2">
      <c r="A74" s="384"/>
      <c r="B74" s="384"/>
      <c r="C74" s="384"/>
      <c r="D74" s="384"/>
      <c r="E74" s="384"/>
      <c r="F74" s="384"/>
      <c r="G74" s="19"/>
      <c r="H74" s="19"/>
    </row>
  </sheetData>
  <sheetProtection formatCells="0"/>
  <mergeCells count="78">
    <mergeCell ref="A7:P7"/>
    <mergeCell ref="K1:P1"/>
    <mergeCell ref="K2:P2"/>
    <mergeCell ref="A4:P4"/>
    <mergeCell ref="A5:P5"/>
    <mergeCell ref="A6:P6"/>
    <mergeCell ref="A8:P8"/>
    <mergeCell ref="D9:L9"/>
    <mergeCell ref="A10:F10"/>
    <mergeCell ref="I10:P10"/>
    <mergeCell ref="C11:D11"/>
    <mergeCell ref="K11:L11"/>
    <mergeCell ref="A12:P12"/>
    <mergeCell ref="B13:D13"/>
    <mergeCell ref="J13:L13"/>
    <mergeCell ref="B14:B17"/>
    <mergeCell ref="C14:D14"/>
    <mergeCell ref="J14:J17"/>
    <mergeCell ref="K14:L14"/>
    <mergeCell ref="B18:B21"/>
    <mergeCell ref="C18:D18"/>
    <mergeCell ref="J18:J21"/>
    <mergeCell ref="K18:L18"/>
    <mergeCell ref="B22:B25"/>
    <mergeCell ref="C22:D22"/>
    <mergeCell ref="J22:J25"/>
    <mergeCell ref="K22:L22"/>
    <mergeCell ref="A40:D40"/>
    <mergeCell ref="I40:L40"/>
    <mergeCell ref="B26:B29"/>
    <mergeCell ref="C26:D26"/>
    <mergeCell ref="J26:J29"/>
    <mergeCell ref="K26:L26"/>
    <mergeCell ref="A30:H35"/>
    <mergeCell ref="J30:J35"/>
    <mergeCell ref="K30:L30"/>
    <mergeCell ref="B36:D36"/>
    <mergeCell ref="J36:L36"/>
    <mergeCell ref="B37:B39"/>
    <mergeCell ref="I37:I39"/>
    <mergeCell ref="J37:J39"/>
    <mergeCell ref="A41:P41"/>
    <mergeCell ref="B42:D42"/>
    <mergeCell ref="J42:L42"/>
    <mergeCell ref="B43:B46"/>
    <mergeCell ref="C43:D43"/>
    <mergeCell ref="J43:J46"/>
    <mergeCell ref="K43:L43"/>
    <mergeCell ref="B47:B50"/>
    <mergeCell ref="C47:D47"/>
    <mergeCell ref="J47:J50"/>
    <mergeCell ref="K47:L47"/>
    <mergeCell ref="B51:B54"/>
    <mergeCell ref="C51:D51"/>
    <mergeCell ref="J51:J54"/>
    <mergeCell ref="K51:L51"/>
    <mergeCell ref="A64:D64"/>
    <mergeCell ref="I64:L64"/>
    <mergeCell ref="B55:D55"/>
    <mergeCell ref="J55:L55"/>
    <mergeCell ref="B56:B58"/>
    <mergeCell ref="J56:J58"/>
    <mergeCell ref="A59:D59"/>
    <mergeCell ref="I59:L59"/>
    <mergeCell ref="B60:D60"/>
    <mergeCell ref="J60:L60"/>
    <mergeCell ref="B61:B63"/>
    <mergeCell ref="I61:I63"/>
    <mergeCell ref="J61:J63"/>
    <mergeCell ref="B69:B71"/>
    <mergeCell ref="J69:J71"/>
    <mergeCell ref="A74:F74"/>
    <mergeCell ref="B65:D65"/>
    <mergeCell ref="J65:L65"/>
    <mergeCell ref="B66:B67"/>
    <mergeCell ref="J66:J67"/>
    <mergeCell ref="B68:D68"/>
    <mergeCell ref="J68:L68"/>
  </mergeCells>
  <printOptions horizontalCentered="1"/>
  <pageMargins left="0.19685039370078741" right="0.19685039370078741" top="3.937007874015748E-2" bottom="0" header="0.43307086614173229" footer="0.51181102362204722"/>
  <pageSetup paperSize="9" scale="62" orientation="landscape" r:id="rId1"/>
  <headerFooter alignWithMargins="0"/>
  <rowBreaks count="1" manualBreakCount="1">
    <brk id="4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4B132-E4C4-4B0C-AC13-8B750BED75B3}">
  <sheetPr>
    <tabColor theme="8" tint="0.59999389629810485"/>
  </sheetPr>
  <dimension ref="A1:O34"/>
  <sheetViews>
    <sheetView zoomScaleNormal="100" workbookViewId="0">
      <pane ySplit="11" topLeftCell="A21" activePane="bottomLeft" state="frozen"/>
      <selection pane="bottomLeft" activeCell="N18" sqref="N18"/>
    </sheetView>
  </sheetViews>
  <sheetFormatPr defaultRowHeight="15.75" x14ac:dyDescent="0.25"/>
  <cols>
    <col min="1" max="1" width="4.5703125" style="171" customWidth="1"/>
    <col min="2" max="2" width="31.7109375" style="171" customWidth="1"/>
    <col min="3" max="3" width="29.85546875" style="171" customWidth="1"/>
    <col min="4" max="4" width="8" style="171" customWidth="1"/>
    <col min="5" max="5" width="14.140625" style="171" customWidth="1"/>
    <col min="6" max="6" width="12.140625" style="171" customWidth="1"/>
    <col min="7" max="7" width="12.7109375" style="171" customWidth="1"/>
    <col min="8" max="8" width="14.7109375" style="171" customWidth="1"/>
    <col min="9" max="9" width="14.28515625" style="171" customWidth="1"/>
    <col min="10" max="10" width="12.7109375" style="171" customWidth="1"/>
    <col min="11" max="11" width="14.7109375" style="171" customWidth="1"/>
    <col min="12" max="12" width="11.28515625" style="171" customWidth="1"/>
    <col min="13" max="13" width="10.140625" style="171" bestFit="1" customWidth="1"/>
    <col min="14" max="14" width="11.28515625" style="171" bestFit="1" customWidth="1"/>
    <col min="15" max="16384" width="9.140625" style="171"/>
  </cols>
  <sheetData>
    <row r="1" spans="1:15" x14ac:dyDescent="0.25">
      <c r="F1" s="464" t="s">
        <v>244</v>
      </c>
      <c r="G1" s="464"/>
      <c r="H1" s="464"/>
      <c r="I1" s="464"/>
      <c r="J1" s="464"/>
      <c r="K1" s="464"/>
      <c r="L1" s="464"/>
      <c r="M1" s="15"/>
    </row>
    <row r="2" spans="1:15" x14ac:dyDescent="0.25">
      <c r="A2" s="172"/>
      <c r="B2" s="172"/>
      <c r="C2" s="172"/>
      <c r="D2" s="172"/>
      <c r="E2" s="173"/>
      <c r="F2" s="464" t="s">
        <v>101</v>
      </c>
      <c r="G2" s="464"/>
      <c r="H2" s="464"/>
      <c r="I2" s="464"/>
      <c r="J2" s="464"/>
      <c r="K2" s="464"/>
      <c r="L2" s="464"/>
    </row>
    <row r="3" spans="1:15" x14ac:dyDescent="0.25">
      <c r="A3" s="172"/>
      <c r="B3" s="172"/>
      <c r="C3" s="172"/>
      <c r="D3" s="172"/>
      <c r="E3" s="173"/>
      <c r="F3" s="16"/>
      <c r="G3" s="16"/>
      <c r="H3" s="16"/>
      <c r="I3" s="16"/>
      <c r="J3" s="16"/>
      <c r="K3" s="16"/>
      <c r="L3" s="16"/>
    </row>
    <row r="4" spans="1:15" x14ac:dyDescent="0.25">
      <c r="A4" s="455" t="s">
        <v>95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</row>
    <row r="5" spans="1:15" x14ac:dyDescent="0.25">
      <c r="A5" s="580" t="s">
        <v>102</v>
      </c>
      <c r="B5" s="580"/>
      <c r="C5" s="580"/>
      <c r="D5" s="580"/>
      <c r="E5" s="580"/>
      <c r="F5" s="580"/>
      <c r="G5" s="580"/>
      <c r="H5" s="580"/>
      <c r="I5" s="580"/>
      <c r="J5" s="580"/>
      <c r="K5" s="580"/>
      <c r="L5" s="580"/>
    </row>
    <row r="6" spans="1:15" s="3" customFormat="1" x14ac:dyDescent="0.25">
      <c r="A6" s="455" t="s">
        <v>98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174"/>
    </row>
    <row r="7" spans="1:15" s="3" customFormat="1" x14ac:dyDescent="0.25">
      <c r="A7" s="455" t="s">
        <v>238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174"/>
    </row>
    <row r="8" spans="1:15" ht="16.5" thickBot="1" x14ac:dyDescent="0.3">
      <c r="A8" s="175"/>
      <c r="B8" s="175"/>
      <c r="C8" s="175"/>
      <c r="D8" s="175"/>
      <c r="F8" s="3"/>
      <c r="G8" s="3"/>
      <c r="H8" s="3"/>
      <c r="I8" s="3"/>
      <c r="J8" s="176"/>
      <c r="K8" s="567" t="s">
        <v>94</v>
      </c>
      <c r="L8" s="567"/>
    </row>
    <row r="9" spans="1:15" x14ac:dyDescent="0.25">
      <c r="A9" s="568" t="s">
        <v>103</v>
      </c>
      <c r="B9" s="571" t="s">
        <v>104</v>
      </c>
      <c r="C9" s="571"/>
      <c r="D9" s="571"/>
      <c r="E9" s="572" t="s">
        <v>105</v>
      </c>
      <c r="F9" s="572"/>
      <c r="G9" s="572"/>
      <c r="H9" s="572"/>
      <c r="I9" s="572" t="s">
        <v>106</v>
      </c>
      <c r="J9" s="572"/>
      <c r="K9" s="572"/>
      <c r="L9" s="573" t="s">
        <v>107</v>
      </c>
    </row>
    <row r="10" spans="1:15" ht="31.5" x14ac:dyDescent="0.25">
      <c r="A10" s="569"/>
      <c r="B10" s="576" t="s">
        <v>108</v>
      </c>
      <c r="C10" s="576" t="s">
        <v>109</v>
      </c>
      <c r="D10" s="578" t="s">
        <v>110</v>
      </c>
      <c r="E10" s="177" t="s">
        <v>111</v>
      </c>
      <c r="F10" s="177" t="s">
        <v>112</v>
      </c>
      <c r="G10" s="178" t="s">
        <v>113</v>
      </c>
      <c r="H10" s="177" t="s">
        <v>114</v>
      </c>
      <c r="I10" s="557" t="s">
        <v>115</v>
      </c>
      <c r="J10" s="557" t="s">
        <v>112</v>
      </c>
      <c r="K10" s="557" t="s">
        <v>114</v>
      </c>
      <c r="L10" s="574"/>
    </row>
    <row r="11" spans="1:15" ht="16.5" thickBot="1" x14ac:dyDescent="0.3">
      <c r="A11" s="570"/>
      <c r="B11" s="577"/>
      <c r="C11" s="577"/>
      <c r="D11" s="579"/>
      <c r="E11" s="558" t="s">
        <v>116</v>
      </c>
      <c r="F11" s="558"/>
      <c r="G11" s="558"/>
      <c r="H11" s="558"/>
      <c r="I11" s="558"/>
      <c r="J11" s="558"/>
      <c r="K11" s="558"/>
      <c r="L11" s="575"/>
    </row>
    <row r="12" spans="1:15" x14ac:dyDescent="0.25">
      <c r="A12" s="559" t="s">
        <v>117</v>
      </c>
      <c r="B12" s="560"/>
      <c r="C12" s="560"/>
      <c r="D12" s="560"/>
      <c r="E12" s="560"/>
      <c r="F12" s="560"/>
      <c r="G12" s="560"/>
      <c r="H12" s="560"/>
      <c r="I12" s="560"/>
      <c r="J12" s="560"/>
      <c r="K12" s="560"/>
      <c r="L12" s="561"/>
    </row>
    <row r="13" spans="1:15" s="184" customFormat="1" x14ac:dyDescent="0.25">
      <c r="A13" s="179" t="s">
        <v>1</v>
      </c>
      <c r="B13" s="180" t="s">
        <v>118</v>
      </c>
      <c r="C13" s="180" t="s">
        <v>119</v>
      </c>
      <c r="D13" s="181">
        <v>0.95</v>
      </c>
      <c r="E13" s="182">
        <f>15202279+1989295</f>
        <v>17191574</v>
      </c>
      <c r="F13" s="183">
        <v>485279</v>
      </c>
      <c r="G13" s="182">
        <f>2850427+6118434</f>
        <v>8968861</v>
      </c>
      <c r="H13" s="182">
        <f t="shared" ref="H13:H14" si="0">SUM(E13:G13)</f>
        <v>26645714</v>
      </c>
      <c r="I13" s="182">
        <f>19002849+6118434</f>
        <v>25121283</v>
      </c>
      <c r="J13" s="183">
        <v>0</v>
      </c>
      <c r="K13" s="182">
        <f t="shared" ref="K13:K25" si="1">SUM(I13:J13)</f>
        <v>25121283</v>
      </c>
      <c r="L13" s="376">
        <v>950143</v>
      </c>
      <c r="M13" s="374"/>
      <c r="N13" s="185"/>
      <c r="O13" s="185"/>
    </row>
    <row r="14" spans="1:15" s="187" customFormat="1" x14ac:dyDescent="0.25">
      <c r="A14" s="179" t="s">
        <v>2</v>
      </c>
      <c r="B14" s="180" t="s">
        <v>120</v>
      </c>
      <c r="C14" s="180" t="s">
        <v>121</v>
      </c>
      <c r="D14" s="181">
        <v>0.95</v>
      </c>
      <c r="E14" s="183">
        <v>16337311</v>
      </c>
      <c r="F14" s="183">
        <v>0</v>
      </c>
      <c r="G14" s="183">
        <f>3063246+6158298</f>
        <v>9221544</v>
      </c>
      <c r="H14" s="183">
        <f t="shared" si="0"/>
        <v>25558855</v>
      </c>
      <c r="I14" s="183">
        <f>20421639+6158298</f>
        <v>26579937</v>
      </c>
      <c r="J14" s="183">
        <v>0</v>
      </c>
      <c r="K14" s="183">
        <f t="shared" si="1"/>
        <v>26579937</v>
      </c>
      <c r="L14" s="377">
        <v>1021082</v>
      </c>
      <c r="M14" s="375"/>
      <c r="N14" s="185"/>
      <c r="O14" s="185"/>
    </row>
    <row r="15" spans="1:15" s="187" customFormat="1" x14ac:dyDescent="0.25">
      <c r="A15" s="179" t="s">
        <v>4</v>
      </c>
      <c r="B15" s="180" t="s">
        <v>122</v>
      </c>
      <c r="C15" s="180" t="s">
        <v>123</v>
      </c>
      <c r="D15" s="181">
        <v>0.95</v>
      </c>
      <c r="E15" s="183">
        <f>20827294+9191461+1048063</f>
        <v>31066818</v>
      </c>
      <c r="F15" s="183">
        <v>0</v>
      </c>
      <c r="G15" s="183">
        <v>0</v>
      </c>
      <c r="H15" s="183">
        <f t="shared" ref="H15:H25" si="2">SUM(E15:G15)</f>
        <v>31066818</v>
      </c>
      <c r="I15" s="183">
        <f>21923467+7162561</f>
        <v>29086028</v>
      </c>
      <c r="J15" s="183">
        <v>0</v>
      </c>
      <c r="K15" s="183">
        <f t="shared" si="1"/>
        <v>29086028</v>
      </c>
      <c r="L15" s="377">
        <v>1096173</v>
      </c>
      <c r="M15" s="375"/>
      <c r="N15" s="185"/>
      <c r="O15" s="185"/>
    </row>
    <row r="16" spans="1:15" s="187" customFormat="1" x14ac:dyDescent="0.25">
      <c r="A16" s="179" t="s">
        <v>124</v>
      </c>
      <c r="B16" s="180" t="s">
        <v>125</v>
      </c>
      <c r="C16" s="180" t="s">
        <v>126</v>
      </c>
      <c r="D16" s="181">
        <v>0.95</v>
      </c>
      <c r="E16" s="183">
        <v>14724234</v>
      </c>
      <c r="F16" s="183">
        <v>0</v>
      </c>
      <c r="G16" s="183">
        <f>2760794+5060808</f>
        <v>7821602</v>
      </c>
      <c r="H16" s="183">
        <f t="shared" si="2"/>
        <v>22545836</v>
      </c>
      <c r="I16" s="183">
        <f>18405293+5060808</f>
        <v>23466101</v>
      </c>
      <c r="J16" s="183">
        <v>0</v>
      </c>
      <c r="K16" s="183">
        <f t="shared" si="1"/>
        <v>23466101</v>
      </c>
      <c r="L16" s="377">
        <v>920265</v>
      </c>
      <c r="M16" s="375"/>
      <c r="N16" s="185"/>
      <c r="O16" s="185"/>
    </row>
    <row r="17" spans="1:15" s="187" customFormat="1" x14ac:dyDescent="0.25">
      <c r="A17" s="179" t="s">
        <v>127</v>
      </c>
      <c r="B17" s="188" t="s">
        <v>128</v>
      </c>
      <c r="C17" s="180" t="s">
        <v>129</v>
      </c>
      <c r="D17" s="181">
        <v>0.95</v>
      </c>
      <c r="E17" s="183">
        <f>22905818+7188710+1685733</f>
        <v>31780261</v>
      </c>
      <c r="F17" s="183">
        <v>830770</v>
      </c>
      <c r="G17" s="183">
        <v>0</v>
      </c>
      <c r="H17" s="183">
        <f t="shared" si="2"/>
        <v>32611031</v>
      </c>
      <c r="I17" s="183">
        <f>24111387+5408693-65000</f>
        <v>29455080</v>
      </c>
      <c r="J17" s="183">
        <v>65000</v>
      </c>
      <c r="K17" s="183">
        <f t="shared" si="1"/>
        <v>29520080</v>
      </c>
      <c r="L17" s="377">
        <v>1205569</v>
      </c>
      <c r="M17" s="375"/>
      <c r="N17" s="185"/>
      <c r="O17" s="185"/>
    </row>
    <row r="18" spans="1:15" s="187" customFormat="1" x14ac:dyDescent="0.25">
      <c r="A18" s="179" t="s">
        <v>130</v>
      </c>
      <c r="B18" s="188" t="s">
        <v>131</v>
      </c>
      <c r="C18" s="180" t="s">
        <v>132</v>
      </c>
      <c r="D18" s="181">
        <v>0.95</v>
      </c>
      <c r="E18" s="183">
        <v>15578955</v>
      </c>
      <c r="F18" s="183">
        <v>0</v>
      </c>
      <c r="G18" s="183">
        <v>0</v>
      </c>
      <c r="H18" s="183">
        <f t="shared" si="2"/>
        <v>15578955</v>
      </c>
      <c r="I18" s="183">
        <v>16398900</v>
      </c>
      <c r="J18" s="183">
        <v>0</v>
      </c>
      <c r="K18" s="183">
        <f t="shared" si="1"/>
        <v>16398900</v>
      </c>
      <c r="L18" s="377">
        <v>819945</v>
      </c>
      <c r="M18" s="375"/>
      <c r="N18" s="185"/>
      <c r="O18" s="185"/>
    </row>
    <row r="19" spans="1:15" s="187" customFormat="1" x14ac:dyDescent="0.25">
      <c r="A19" s="179" t="s">
        <v>133</v>
      </c>
      <c r="B19" s="188" t="s">
        <v>134</v>
      </c>
      <c r="C19" s="180" t="s">
        <v>135</v>
      </c>
      <c r="D19" s="181">
        <v>0.95</v>
      </c>
      <c r="E19" s="183">
        <f>20727235+6507212</f>
        <v>27234447</v>
      </c>
      <c r="F19" s="183">
        <v>896800</v>
      </c>
      <c r="G19" s="183">
        <v>0</v>
      </c>
      <c r="H19" s="183">
        <f t="shared" si="2"/>
        <v>28131247</v>
      </c>
      <c r="I19" s="183">
        <f>21641143+4826588</f>
        <v>26467731</v>
      </c>
      <c r="J19" s="183">
        <v>1121000</v>
      </c>
      <c r="K19" s="183">
        <f t="shared" si="1"/>
        <v>27588731</v>
      </c>
      <c r="L19" s="377">
        <v>1138108</v>
      </c>
      <c r="M19" s="375"/>
      <c r="N19" s="185"/>
      <c r="O19" s="185"/>
    </row>
    <row r="20" spans="1:15" s="184" customFormat="1" x14ac:dyDescent="0.25">
      <c r="A20" s="179" t="s">
        <v>136</v>
      </c>
      <c r="B20" s="180" t="s">
        <v>137</v>
      </c>
      <c r="C20" s="180">
        <v>101118780</v>
      </c>
      <c r="D20" s="181">
        <v>0.754</v>
      </c>
      <c r="E20" s="183">
        <f>11920000+1000000</f>
        <v>12920000</v>
      </c>
      <c r="F20" s="183">
        <f>1000000-1000000</f>
        <v>0</v>
      </c>
      <c r="G20" s="183">
        <v>0</v>
      </c>
      <c r="H20" s="183">
        <f t="shared" si="2"/>
        <v>12920000</v>
      </c>
      <c r="I20" s="183">
        <f>16129640+1000000</f>
        <v>17129640</v>
      </c>
      <c r="J20" s="183">
        <f>1000000-1000000</f>
        <v>0</v>
      </c>
      <c r="K20" s="183">
        <f t="shared" si="1"/>
        <v>17129640</v>
      </c>
      <c r="L20" s="376">
        <v>4209640</v>
      </c>
      <c r="M20" s="374"/>
      <c r="N20" s="185"/>
      <c r="O20" s="185"/>
    </row>
    <row r="21" spans="1:15" s="184" customFormat="1" x14ac:dyDescent="0.25">
      <c r="A21" s="179" t="s">
        <v>138</v>
      </c>
      <c r="B21" s="188" t="s">
        <v>139</v>
      </c>
      <c r="C21" s="189" t="s">
        <v>140</v>
      </c>
      <c r="D21" s="181">
        <v>1</v>
      </c>
      <c r="E21" s="183">
        <v>2184400</v>
      </c>
      <c r="F21" s="183">
        <v>0</v>
      </c>
      <c r="G21" s="183">
        <v>5023335</v>
      </c>
      <c r="H21" s="183">
        <f t="shared" si="2"/>
        <v>7207735</v>
      </c>
      <c r="I21" s="183">
        <f>5023335+2187066</f>
        <v>7210401</v>
      </c>
      <c r="J21" s="183">
        <v>0</v>
      </c>
      <c r="K21" s="183">
        <f t="shared" si="1"/>
        <v>7210401</v>
      </c>
      <c r="L21" s="186">
        <v>0</v>
      </c>
      <c r="N21" s="185"/>
      <c r="O21" s="185"/>
    </row>
    <row r="22" spans="1:15" s="187" customFormat="1" x14ac:dyDescent="0.25">
      <c r="A22" s="179" t="s">
        <v>141</v>
      </c>
      <c r="B22" s="190" t="s">
        <v>142</v>
      </c>
      <c r="C22" s="191" t="s">
        <v>143</v>
      </c>
      <c r="D22" s="181">
        <v>1</v>
      </c>
      <c r="E22" s="183">
        <v>0</v>
      </c>
      <c r="F22" s="183">
        <v>0</v>
      </c>
      <c r="G22" s="183">
        <v>26273766</v>
      </c>
      <c r="H22" s="183">
        <f t="shared" si="2"/>
        <v>26273766</v>
      </c>
      <c r="I22" s="183">
        <v>26273766</v>
      </c>
      <c r="J22" s="183">
        <v>0</v>
      </c>
      <c r="K22" s="183">
        <f t="shared" si="1"/>
        <v>26273766</v>
      </c>
      <c r="L22" s="186">
        <f t="shared" ref="L22:L29" si="3">K22-H22</f>
        <v>0</v>
      </c>
    </row>
    <row r="23" spans="1:15" s="187" customFormat="1" x14ac:dyDescent="0.25">
      <c r="A23" s="179" t="s">
        <v>144</v>
      </c>
      <c r="B23" s="190" t="s">
        <v>145</v>
      </c>
      <c r="C23" s="191" t="s">
        <v>146</v>
      </c>
      <c r="D23" s="181">
        <v>1</v>
      </c>
      <c r="E23" s="183">
        <f>11594464+18938922</f>
        <v>30533386</v>
      </c>
      <c r="F23" s="183">
        <v>6402251</v>
      </c>
      <c r="G23" s="183">
        <v>0</v>
      </c>
      <c r="H23" s="183">
        <f t="shared" si="2"/>
        <v>36935637</v>
      </c>
      <c r="I23" s="183">
        <v>5714364</v>
      </c>
      <c r="J23" s="183">
        <f>5880100+6402251</f>
        <v>12282351</v>
      </c>
      <c r="K23" s="183">
        <f t="shared" si="1"/>
        <v>17996715</v>
      </c>
      <c r="L23" s="186">
        <v>0</v>
      </c>
      <c r="M23" s="378"/>
      <c r="O23" s="378"/>
    </row>
    <row r="24" spans="1:15" s="187" customFormat="1" ht="15.95" customHeight="1" x14ac:dyDescent="0.25">
      <c r="A24" s="179" t="s">
        <v>147</v>
      </c>
      <c r="B24" s="190" t="s">
        <v>148</v>
      </c>
      <c r="C24" s="191" t="s">
        <v>149</v>
      </c>
      <c r="D24" s="181">
        <v>1</v>
      </c>
      <c r="E24" s="183">
        <v>0</v>
      </c>
      <c r="F24" s="183">
        <v>0</v>
      </c>
      <c r="G24" s="183">
        <v>2066271</v>
      </c>
      <c r="H24" s="183">
        <f t="shared" si="2"/>
        <v>2066271</v>
      </c>
      <c r="I24" s="183">
        <v>2066271</v>
      </c>
      <c r="J24" s="183">
        <v>0</v>
      </c>
      <c r="K24" s="183">
        <f t="shared" si="1"/>
        <v>2066271</v>
      </c>
      <c r="L24" s="186">
        <f>K24-H24</f>
        <v>0</v>
      </c>
    </row>
    <row r="25" spans="1:15" s="187" customFormat="1" x14ac:dyDescent="0.25">
      <c r="A25" s="179" t="s">
        <v>150</v>
      </c>
      <c r="B25" s="188" t="s">
        <v>151</v>
      </c>
      <c r="C25" s="379" t="s">
        <v>152</v>
      </c>
      <c r="D25" s="181">
        <v>1</v>
      </c>
      <c r="E25" s="183">
        <f>278212008+280534559</f>
        <v>558746567</v>
      </c>
      <c r="F25" s="183">
        <v>0</v>
      </c>
      <c r="G25" s="183">
        <v>126154262</v>
      </c>
      <c r="H25" s="183">
        <f t="shared" si="2"/>
        <v>684900829</v>
      </c>
      <c r="I25" s="183">
        <f>376883048+280534559</f>
        <v>657417607</v>
      </c>
      <c r="J25" s="183">
        <v>27483222</v>
      </c>
      <c r="K25" s="183">
        <f t="shared" si="1"/>
        <v>684900829</v>
      </c>
      <c r="L25" s="186">
        <f t="shared" si="3"/>
        <v>0</v>
      </c>
      <c r="M25" s="378"/>
      <c r="O25" s="378"/>
    </row>
    <row r="26" spans="1:15" s="187" customFormat="1" x14ac:dyDescent="0.25">
      <c r="A26" s="179" t="s">
        <v>153</v>
      </c>
      <c r="B26" s="188" t="s">
        <v>154</v>
      </c>
      <c r="C26" s="189" t="s">
        <v>155</v>
      </c>
      <c r="D26" s="181">
        <v>1</v>
      </c>
      <c r="E26" s="183">
        <v>0</v>
      </c>
      <c r="F26" s="183">
        <v>0</v>
      </c>
      <c r="G26" s="183">
        <v>191995</v>
      </c>
      <c r="H26" s="183">
        <f>SUM(E26:G26)</f>
        <v>191995</v>
      </c>
      <c r="I26" s="183">
        <v>191995</v>
      </c>
      <c r="J26" s="183">
        <v>0</v>
      </c>
      <c r="K26" s="183">
        <f>SUM(I26:J26)</f>
        <v>191995</v>
      </c>
      <c r="L26" s="186">
        <f>K26-H26</f>
        <v>0</v>
      </c>
      <c r="M26" s="378"/>
    </row>
    <row r="27" spans="1:15" x14ac:dyDescent="0.25">
      <c r="A27" s="179" t="s">
        <v>156</v>
      </c>
      <c r="B27" s="188" t="s">
        <v>157</v>
      </c>
      <c r="C27" s="189" t="s">
        <v>158</v>
      </c>
      <c r="D27" s="181">
        <v>1</v>
      </c>
      <c r="E27" s="182">
        <v>0</v>
      </c>
      <c r="F27" s="183">
        <v>0</v>
      </c>
      <c r="G27" s="195">
        <v>283673</v>
      </c>
      <c r="H27" s="196">
        <f t="shared" ref="H27" si="4">SUM(E27:G27)</f>
        <v>283673</v>
      </c>
      <c r="I27" s="183">
        <v>283673</v>
      </c>
      <c r="J27" s="196">
        <v>0</v>
      </c>
      <c r="K27" s="196">
        <f>SUM(I27:J27)</f>
        <v>283673</v>
      </c>
      <c r="L27" s="186">
        <f>K27-H27</f>
        <v>0</v>
      </c>
      <c r="M27" s="193"/>
    </row>
    <row r="28" spans="1:15" x14ac:dyDescent="0.25">
      <c r="A28" s="179" t="s">
        <v>159</v>
      </c>
      <c r="B28" s="188" t="s">
        <v>160</v>
      </c>
      <c r="C28" s="191" t="s">
        <v>161</v>
      </c>
      <c r="D28" s="181">
        <v>1</v>
      </c>
      <c r="E28" s="183">
        <v>0</v>
      </c>
      <c r="F28" s="183">
        <v>0</v>
      </c>
      <c r="G28" s="183">
        <v>42397</v>
      </c>
      <c r="H28" s="183">
        <f>SUM(E28:G28)</f>
        <v>42397</v>
      </c>
      <c r="I28" s="183">
        <v>42397</v>
      </c>
      <c r="J28" s="183">
        <v>0</v>
      </c>
      <c r="K28" s="183">
        <f>SUM(I28:J28)</f>
        <v>42397</v>
      </c>
      <c r="L28" s="186">
        <f t="shared" si="3"/>
        <v>0</v>
      </c>
      <c r="M28" s="193"/>
    </row>
    <row r="29" spans="1:15" x14ac:dyDescent="0.25">
      <c r="A29" s="197" t="s">
        <v>162</v>
      </c>
      <c r="B29" s="198" t="s">
        <v>163</v>
      </c>
      <c r="C29" s="199" t="s">
        <v>164</v>
      </c>
      <c r="D29" s="200">
        <v>1</v>
      </c>
      <c r="E29" s="183">
        <v>1064771551</v>
      </c>
      <c r="F29" s="183">
        <v>52113449</v>
      </c>
      <c r="G29" s="183">
        <v>0</v>
      </c>
      <c r="H29" s="183">
        <f>SUM(E29:G29)</f>
        <v>1116885000</v>
      </c>
      <c r="I29" s="183">
        <v>1064771551</v>
      </c>
      <c r="J29" s="183">
        <v>52113449</v>
      </c>
      <c r="K29" s="183">
        <f>SUM(I29:J29)</f>
        <v>1116885000</v>
      </c>
      <c r="L29" s="186">
        <f t="shared" si="3"/>
        <v>0</v>
      </c>
      <c r="M29" s="193"/>
    </row>
    <row r="30" spans="1:15" ht="16.5" thickBot="1" x14ac:dyDescent="0.3">
      <c r="A30" s="562" t="s">
        <v>165</v>
      </c>
      <c r="B30" s="563"/>
      <c r="C30" s="563"/>
      <c r="D30" s="563"/>
      <c r="E30" s="201">
        <f>SUM(E13:E29)</f>
        <v>1823069504</v>
      </c>
      <c r="F30" s="201">
        <f t="shared" ref="F30:L30" si="5">SUM(F13:F29)</f>
        <v>60728549</v>
      </c>
      <c r="G30" s="201">
        <f t="shared" si="5"/>
        <v>186047706</v>
      </c>
      <c r="H30" s="201">
        <f t="shared" si="5"/>
        <v>2069845759</v>
      </c>
      <c r="I30" s="201">
        <f t="shared" si="5"/>
        <v>1957676725</v>
      </c>
      <c r="J30" s="201">
        <f t="shared" si="5"/>
        <v>93065022</v>
      </c>
      <c r="K30" s="201">
        <f t="shared" si="5"/>
        <v>2050741747</v>
      </c>
      <c r="L30" s="202">
        <f t="shared" si="5"/>
        <v>11360925</v>
      </c>
    </row>
    <row r="31" spans="1:15" x14ac:dyDescent="0.25">
      <c r="A31" s="564" t="s">
        <v>166</v>
      </c>
      <c r="B31" s="565"/>
      <c r="C31" s="565"/>
      <c r="D31" s="565"/>
      <c r="E31" s="565"/>
      <c r="F31" s="565"/>
      <c r="G31" s="565"/>
      <c r="H31" s="565"/>
      <c r="I31" s="565"/>
      <c r="J31" s="565"/>
      <c r="K31" s="565"/>
      <c r="L31" s="566"/>
    </row>
    <row r="32" spans="1:15" x14ac:dyDescent="0.25">
      <c r="A32" s="203" t="s">
        <v>1</v>
      </c>
      <c r="B32" s="194" t="s">
        <v>167</v>
      </c>
      <c r="C32" s="204" t="s">
        <v>168</v>
      </c>
      <c r="D32" s="192">
        <v>1</v>
      </c>
      <c r="E32" s="205">
        <v>0</v>
      </c>
      <c r="F32" s="205">
        <v>0</v>
      </c>
      <c r="G32" s="205">
        <v>5619431</v>
      </c>
      <c r="H32" s="205">
        <f>E32+F32+G32</f>
        <v>5619431</v>
      </c>
      <c r="I32" s="205">
        <v>5619431</v>
      </c>
      <c r="J32" s="205">
        <v>0</v>
      </c>
      <c r="K32" s="205">
        <f>I32+J32</f>
        <v>5619431</v>
      </c>
      <c r="L32" s="206">
        <v>0</v>
      </c>
    </row>
    <row r="33" spans="1:12" ht="16.5" thickBot="1" x14ac:dyDescent="0.3">
      <c r="A33" s="553" t="s">
        <v>169</v>
      </c>
      <c r="B33" s="554"/>
      <c r="C33" s="554"/>
      <c r="D33" s="554"/>
      <c r="E33" s="207">
        <f>SUM(E32)</f>
        <v>0</v>
      </c>
      <c r="F33" s="207">
        <f t="shared" ref="F33:L33" si="6">SUM(F32)</f>
        <v>0</v>
      </c>
      <c r="G33" s="207">
        <f t="shared" si="6"/>
        <v>5619431</v>
      </c>
      <c r="H33" s="207">
        <f t="shared" si="6"/>
        <v>5619431</v>
      </c>
      <c r="I33" s="207">
        <f t="shared" si="6"/>
        <v>5619431</v>
      </c>
      <c r="J33" s="207">
        <f t="shared" si="6"/>
        <v>0</v>
      </c>
      <c r="K33" s="207">
        <f t="shared" si="6"/>
        <v>5619431</v>
      </c>
      <c r="L33" s="208">
        <f t="shared" si="6"/>
        <v>0</v>
      </c>
    </row>
    <row r="34" spans="1:12" ht="16.5" thickBot="1" x14ac:dyDescent="0.3">
      <c r="A34" s="555" t="s">
        <v>170</v>
      </c>
      <c r="B34" s="556"/>
      <c r="C34" s="556"/>
      <c r="D34" s="556"/>
      <c r="E34" s="209">
        <f>E30+E33</f>
        <v>1823069504</v>
      </c>
      <c r="F34" s="209">
        <f t="shared" ref="F34" si="7">F30+F33</f>
        <v>60728549</v>
      </c>
      <c r="G34" s="209">
        <f>G30+G33</f>
        <v>191667137</v>
      </c>
      <c r="H34" s="209">
        <f t="shared" ref="H34" si="8">H30+H33</f>
        <v>2075465190</v>
      </c>
      <c r="I34" s="209">
        <f>I30+I33</f>
        <v>1963296156</v>
      </c>
      <c r="J34" s="209">
        <f t="shared" ref="J34:L34" si="9">J30+J33</f>
        <v>93065022</v>
      </c>
      <c r="K34" s="209">
        <f>K30+K33</f>
        <v>2056361178</v>
      </c>
      <c r="L34" s="210">
        <f t="shared" si="9"/>
        <v>11360925</v>
      </c>
    </row>
  </sheetData>
  <mergeCells count="24">
    <mergeCell ref="A7:L7"/>
    <mergeCell ref="F1:L1"/>
    <mergeCell ref="F2:L2"/>
    <mergeCell ref="A4:L4"/>
    <mergeCell ref="A5:L5"/>
    <mergeCell ref="A6:L6"/>
    <mergeCell ref="K8:L8"/>
    <mergeCell ref="A9:A11"/>
    <mergeCell ref="B9:D9"/>
    <mergeCell ref="E9:H9"/>
    <mergeCell ref="I9:K9"/>
    <mergeCell ref="L9:L11"/>
    <mergeCell ref="B10:B11"/>
    <mergeCell ref="C10:C11"/>
    <mergeCell ref="D10:D11"/>
    <mergeCell ref="I10:I11"/>
    <mergeCell ref="A33:D33"/>
    <mergeCell ref="A34:D34"/>
    <mergeCell ref="J10:J11"/>
    <mergeCell ref="K10:K11"/>
    <mergeCell ref="E11:H11"/>
    <mergeCell ref="A12:L12"/>
    <mergeCell ref="A30:D30"/>
    <mergeCell ref="A31:L31"/>
  </mergeCell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D0FC-9CB4-4882-AFCB-C67A5A2C8F01}">
  <sheetPr>
    <tabColor theme="8" tint="0.59999389629810485"/>
  </sheetPr>
  <dimension ref="A1:O70"/>
  <sheetViews>
    <sheetView zoomScaleNormal="100" workbookViewId="0">
      <pane xSplit="4" ySplit="12" topLeftCell="E22" activePane="bottomRight" state="frozen"/>
      <selection pane="topRight" activeCell="E1" sqref="E1"/>
      <selection pane="bottomLeft" activeCell="A13" sqref="A13"/>
      <selection pane="bottomRight" activeCell="Q24" sqref="Q24"/>
    </sheetView>
  </sheetViews>
  <sheetFormatPr defaultRowHeight="15.75" x14ac:dyDescent="0.25"/>
  <cols>
    <col min="1" max="1" width="4.5703125" style="211" customWidth="1"/>
    <col min="2" max="2" width="15.7109375" style="211" customWidth="1"/>
    <col min="3" max="3" width="27.7109375" style="211" customWidth="1"/>
    <col min="4" max="4" width="8.7109375" style="211" customWidth="1"/>
    <col min="5" max="5" width="13.7109375" style="211" customWidth="1"/>
    <col min="6" max="6" width="14.5703125" style="211" customWidth="1"/>
    <col min="7" max="7" width="13.7109375" style="211" customWidth="1"/>
    <col min="8" max="10" width="12.7109375" style="211" customWidth="1"/>
    <col min="11" max="11" width="14.7109375" style="211" customWidth="1"/>
    <col min="12" max="12" width="11.140625" style="211" customWidth="1"/>
    <col min="13" max="13" width="14.7109375" style="211" customWidth="1"/>
    <col min="14" max="16384" width="9.140625" style="211"/>
  </cols>
  <sheetData>
    <row r="1" spans="1:15" ht="18" customHeight="1" x14ac:dyDescent="0.25">
      <c r="E1" s="464" t="s">
        <v>245</v>
      </c>
      <c r="F1" s="464"/>
      <c r="G1" s="464"/>
      <c r="H1" s="464"/>
      <c r="I1" s="464"/>
      <c r="J1" s="464"/>
      <c r="K1" s="464"/>
      <c r="L1" s="464"/>
      <c r="M1" s="464"/>
    </row>
    <row r="2" spans="1:15" ht="18" customHeight="1" x14ac:dyDescent="0.25">
      <c r="E2" s="464" t="s">
        <v>171</v>
      </c>
      <c r="F2" s="464"/>
      <c r="G2" s="464"/>
      <c r="H2" s="464"/>
      <c r="I2" s="464"/>
      <c r="J2" s="464"/>
      <c r="K2" s="464"/>
      <c r="L2" s="464"/>
      <c r="M2" s="464"/>
    </row>
    <row r="3" spans="1:15" ht="18" customHeight="1" x14ac:dyDescent="0.25">
      <c r="E3" s="15"/>
      <c r="F3" s="15"/>
      <c r="G3" s="15"/>
      <c r="H3" s="15"/>
      <c r="I3" s="15"/>
      <c r="J3" s="15"/>
      <c r="K3" s="15"/>
      <c r="L3" s="15"/>
      <c r="M3" s="15"/>
    </row>
    <row r="4" spans="1:15" ht="15.95" customHeight="1" x14ac:dyDescent="0.25">
      <c r="A4" s="616" t="s">
        <v>95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13"/>
    </row>
    <row r="5" spans="1:15" ht="15.95" customHeight="1" x14ac:dyDescent="0.25">
      <c r="A5" s="617" t="s">
        <v>172</v>
      </c>
      <c r="B5" s="617"/>
      <c r="C5" s="617"/>
      <c r="D5" s="617"/>
      <c r="E5" s="617"/>
      <c r="F5" s="617"/>
      <c r="G5" s="617"/>
      <c r="H5" s="617"/>
      <c r="I5" s="617"/>
      <c r="J5" s="617"/>
      <c r="K5" s="617"/>
      <c r="L5" s="617"/>
      <c r="M5" s="617"/>
    </row>
    <row r="6" spans="1:15" s="212" customFormat="1" ht="15.95" customHeight="1" x14ac:dyDescent="0.25">
      <c r="A6" s="616" t="s">
        <v>98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</row>
    <row r="7" spans="1:15" s="14" customFormat="1" ht="15.95" customHeight="1" x14ac:dyDescent="0.25">
      <c r="A7" s="616" t="s">
        <v>238</v>
      </c>
      <c r="B7" s="616"/>
      <c r="C7" s="616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213"/>
      <c r="O7" s="213"/>
    </row>
    <row r="8" spans="1:15" s="14" customFormat="1" ht="15.95" customHeight="1" thickBot="1" x14ac:dyDescent="0.3">
      <c r="A8" s="214"/>
      <c r="B8" s="214"/>
      <c r="C8" s="214"/>
      <c r="D8" s="214"/>
      <c r="E8" s="214"/>
      <c r="F8" s="211"/>
      <c r="G8" s="211"/>
      <c r="H8" s="211"/>
      <c r="L8" s="618" t="s">
        <v>94</v>
      </c>
      <c r="M8" s="618"/>
      <c r="N8" s="213"/>
      <c r="O8" s="213"/>
    </row>
    <row r="9" spans="1:15" ht="18" customHeight="1" x14ac:dyDescent="0.25">
      <c r="A9" s="619" t="s">
        <v>103</v>
      </c>
      <c r="B9" s="626" t="s">
        <v>104</v>
      </c>
      <c r="C9" s="627"/>
      <c r="D9" s="628"/>
      <c r="E9" s="629" t="s">
        <v>173</v>
      </c>
      <c r="F9" s="630"/>
      <c r="G9" s="630"/>
      <c r="H9" s="630"/>
      <c r="I9" s="630"/>
      <c r="J9" s="630"/>
      <c r="K9" s="631"/>
      <c r="L9" s="632" t="s">
        <v>107</v>
      </c>
      <c r="M9" s="635" t="s">
        <v>114</v>
      </c>
    </row>
    <row r="10" spans="1:15" ht="15" customHeight="1" x14ac:dyDescent="0.25">
      <c r="A10" s="620"/>
      <c r="B10" s="638" t="s">
        <v>108</v>
      </c>
      <c r="C10" s="638" t="s">
        <v>109</v>
      </c>
      <c r="D10" s="639" t="s">
        <v>110</v>
      </c>
      <c r="E10" s="638" t="s">
        <v>174</v>
      </c>
      <c r="F10" s="642" t="s">
        <v>175</v>
      </c>
      <c r="G10" s="643"/>
      <c r="H10" s="643"/>
      <c r="I10" s="643"/>
      <c r="J10" s="643"/>
      <c r="K10" s="644"/>
      <c r="L10" s="633"/>
      <c r="M10" s="636"/>
    </row>
    <row r="11" spans="1:15" ht="15" customHeight="1" x14ac:dyDescent="0.25">
      <c r="A11" s="620"/>
      <c r="B11" s="633"/>
      <c r="C11" s="633"/>
      <c r="D11" s="640"/>
      <c r="E11" s="633"/>
      <c r="F11" s="642" t="s">
        <v>176</v>
      </c>
      <c r="G11" s="644"/>
      <c r="H11" s="645" t="s">
        <v>177</v>
      </c>
      <c r="I11" s="646"/>
      <c r="J11" s="622" t="s">
        <v>178</v>
      </c>
      <c r="K11" s="624" t="s">
        <v>114</v>
      </c>
      <c r="L11" s="633"/>
      <c r="M11" s="636"/>
    </row>
    <row r="12" spans="1:15" ht="15" customHeight="1" thickBot="1" x14ac:dyDescent="0.3">
      <c r="A12" s="621"/>
      <c r="B12" s="634"/>
      <c r="C12" s="634"/>
      <c r="D12" s="641"/>
      <c r="E12" s="634"/>
      <c r="F12" s="91" t="s">
        <v>179</v>
      </c>
      <c r="G12" s="91" t="s">
        <v>180</v>
      </c>
      <c r="H12" s="91" t="s">
        <v>181</v>
      </c>
      <c r="I12" s="91" t="s">
        <v>182</v>
      </c>
      <c r="J12" s="623"/>
      <c r="K12" s="625"/>
      <c r="L12" s="634"/>
      <c r="M12" s="637"/>
    </row>
    <row r="13" spans="1:15" ht="15" customHeight="1" x14ac:dyDescent="0.25">
      <c r="A13" s="589" t="s">
        <v>1</v>
      </c>
      <c r="B13" s="613" t="s">
        <v>118</v>
      </c>
      <c r="C13" s="613" t="s">
        <v>119</v>
      </c>
      <c r="D13" s="598">
        <v>0.95</v>
      </c>
      <c r="E13" s="215" t="s">
        <v>183</v>
      </c>
      <c r="F13" s="216">
        <v>0</v>
      </c>
      <c r="G13" s="224">
        <f>15202279+1989295</f>
        <v>17191574</v>
      </c>
      <c r="H13" s="224">
        <v>0</v>
      </c>
      <c r="I13" s="224">
        <v>485279</v>
      </c>
      <c r="J13" s="216">
        <f>2850427+6118434</f>
        <v>8968861</v>
      </c>
      <c r="K13" s="216">
        <f>SUM(F13:J13)</f>
        <v>26645714</v>
      </c>
      <c r="L13" s="216">
        <v>950143</v>
      </c>
      <c r="M13" s="217">
        <f t="shared" ref="M13:M66" si="0">K13+L13</f>
        <v>27595857</v>
      </c>
    </row>
    <row r="14" spans="1:15" ht="15" customHeight="1" x14ac:dyDescent="0.25">
      <c r="A14" s="590"/>
      <c r="B14" s="614"/>
      <c r="C14" s="614"/>
      <c r="D14" s="599"/>
      <c r="E14" s="218" t="s">
        <v>184</v>
      </c>
      <c r="F14" s="205">
        <v>0</v>
      </c>
      <c r="G14" s="205">
        <v>0</v>
      </c>
      <c r="H14" s="205">
        <v>0</v>
      </c>
      <c r="I14" s="205">
        <v>0</v>
      </c>
      <c r="J14" s="205">
        <v>0</v>
      </c>
      <c r="K14" s="205">
        <v>0</v>
      </c>
      <c r="L14" s="205"/>
      <c r="M14" s="206">
        <f t="shared" si="0"/>
        <v>0</v>
      </c>
    </row>
    <row r="15" spans="1:15" ht="15" customHeight="1" thickBot="1" x14ac:dyDescent="0.3">
      <c r="A15" s="591"/>
      <c r="B15" s="615"/>
      <c r="C15" s="615"/>
      <c r="D15" s="600"/>
      <c r="E15" s="219" t="s">
        <v>114</v>
      </c>
      <c r="F15" s="220">
        <f t="shared" ref="F15:L15" si="1">SUM(F13:F14)</f>
        <v>0</v>
      </c>
      <c r="G15" s="220">
        <f t="shared" si="1"/>
        <v>17191574</v>
      </c>
      <c r="H15" s="220">
        <f t="shared" si="1"/>
        <v>0</v>
      </c>
      <c r="I15" s="220">
        <f t="shared" si="1"/>
        <v>485279</v>
      </c>
      <c r="J15" s="220">
        <f t="shared" si="1"/>
        <v>8968861</v>
      </c>
      <c r="K15" s="220">
        <f t="shared" si="1"/>
        <v>26645714</v>
      </c>
      <c r="L15" s="220">
        <f t="shared" si="1"/>
        <v>950143</v>
      </c>
      <c r="M15" s="221">
        <f t="shared" si="0"/>
        <v>27595857</v>
      </c>
    </row>
    <row r="16" spans="1:15" ht="15" customHeight="1" x14ac:dyDescent="0.25">
      <c r="A16" s="589" t="s">
        <v>2</v>
      </c>
      <c r="B16" s="613" t="s">
        <v>120</v>
      </c>
      <c r="C16" s="613" t="s">
        <v>121</v>
      </c>
      <c r="D16" s="598">
        <v>0.95</v>
      </c>
      <c r="E16" s="222" t="s">
        <v>183</v>
      </c>
      <c r="F16" s="216">
        <v>0</v>
      </c>
      <c r="G16" s="216">
        <v>16337311</v>
      </c>
      <c r="H16" s="216">
        <v>0</v>
      </c>
      <c r="I16" s="216">
        <v>0</v>
      </c>
      <c r="J16" s="216">
        <f>3063246+6158298</f>
        <v>9221544</v>
      </c>
      <c r="K16" s="216">
        <f>SUM(F16:J16)</f>
        <v>25558855</v>
      </c>
      <c r="L16" s="216">
        <v>1021082</v>
      </c>
      <c r="M16" s="223">
        <f t="shared" si="0"/>
        <v>26579937</v>
      </c>
    </row>
    <row r="17" spans="1:13" ht="15" customHeight="1" x14ac:dyDescent="0.25">
      <c r="A17" s="590"/>
      <c r="B17" s="614"/>
      <c r="C17" s="614"/>
      <c r="D17" s="599"/>
      <c r="E17" s="218" t="s">
        <v>184</v>
      </c>
      <c r="F17" s="205">
        <v>0</v>
      </c>
      <c r="G17" s="205">
        <v>0</v>
      </c>
      <c r="H17" s="205">
        <v>0</v>
      </c>
      <c r="I17" s="205">
        <v>0</v>
      </c>
      <c r="J17" s="205">
        <v>0</v>
      </c>
      <c r="K17" s="205">
        <v>0</v>
      </c>
      <c r="L17" s="205">
        <v>0</v>
      </c>
      <c r="M17" s="206">
        <f t="shared" si="0"/>
        <v>0</v>
      </c>
    </row>
    <row r="18" spans="1:13" ht="15" customHeight="1" thickBot="1" x14ac:dyDescent="0.3">
      <c r="A18" s="591"/>
      <c r="B18" s="615"/>
      <c r="C18" s="615"/>
      <c r="D18" s="600"/>
      <c r="E18" s="219" t="s">
        <v>114</v>
      </c>
      <c r="F18" s="220">
        <f t="shared" ref="F18:L18" si="2">SUM(F16:F17)</f>
        <v>0</v>
      </c>
      <c r="G18" s="220">
        <f t="shared" si="2"/>
        <v>16337311</v>
      </c>
      <c r="H18" s="220">
        <f t="shared" si="2"/>
        <v>0</v>
      </c>
      <c r="I18" s="220">
        <f t="shared" si="2"/>
        <v>0</v>
      </c>
      <c r="J18" s="220">
        <f t="shared" si="2"/>
        <v>9221544</v>
      </c>
      <c r="K18" s="220">
        <f t="shared" si="2"/>
        <v>25558855</v>
      </c>
      <c r="L18" s="220">
        <f t="shared" si="2"/>
        <v>1021082</v>
      </c>
      <c r="M18" s="221">
        <f t="shared" si="0"/>
        <v>26579937</v>
      </c>
    </row>
    <row r="19" spans="1:13" ht="15" customHeight="1" x14ac:dyDescent="0.25">
      <c r="A19" s="589" t="s">
        <v>4</v>
      </c>
      <c r="B19" s="613" t="s">
        <v>122</v>
      </c>
      <c r="C19" s="613" t="s">
        <v>123</v>
      </c>
      <c r="D19" s="598">
        <v>0.95</v>
      </c>
      <c r="E19" s="215" t="s">
        <v>183</v>
      </c>
      <c r="F19" s="216">
        <f>3288520+9191461</f>
        <v>12479981</v>
      </c>
      <c r="G19" s="224">
        <f>17538774+1048063</f>
        <v>18586837</v>
      </c>
      <c r="H19" s="216">
        <v>0</v>
      </c>
      <c r="I19" s="216">
        <v>0</v>
      </c>
      <c r="J19" s="216">
        <v>0</v>
      </c>
      <c r="K19" s="216">
        <f>SUM(F19:J19)</f>
        <v>31066818</v>
      </c>
      <c r="L19" s="216">
        <v>1096173</v>
      </c>
      <c r="M19" s="217">
        <f t="shared" si="0"/>
        <v>32162991</v>
      </c>
    </row>
    <row r="20" spans="1:13" ht="15" customHeight="1" x14ac:dyDescent="0.25">
      <c r="A20" s="590"/>
      <c r="B20" s="614"/>
      <c r="C20" s="614"/>
      <c r="D20" s="599"/>
      <c r="E20" s="218" t="s">
        <v>184</v>
      </c>
      <c r="F20" s="205">
        <v>0</v>
      </c>
      <c r="G20" s="205">
        <v>0</v>
      </c>
      <c r="H20" s="205">
        <v>0</v>
      </c>
      <c r="I20" s="205">
        <v>0</v>
      </c>
      <c r="J20" s="205">
        <v>0</v>
      </c>
      <c r="K20" s="205">
        <v>0</v>
      </c>
      <c r="L20" s="205">
        <v>0</v>
      </c>
      <c r="M20" s="206">
        <f t="shared" si="0"/>
        <v>0</v>
      </c>
    </row>
    <row r="21" spans="1:13" ht="15" customHeight="1" thickBot="1" x14ac:dyDescent="0.3">
      <c r="A21" s="591"/>
      <c r="B21" s="615"/>
      <c r="C21" s="615"/>
      <c r="D21" s="600"/>
      <c r="E21" s="219" t="s">
        <v>114</v>
      </c>
      <c r="F21" s="220">
        <f t="shared" ref="F21:L21" si="3">SUM(F19:F20)</f>
        <v>12479981</v>
      </c>
      <c r="G21" s="220">
        <f t="shared" si="3"/>
        <v>18586837</v>
      </c>
      <c r="H21" s="220">
        <f t="shared" si="3"/>
        <v>0</v>
      </c>
      <c r="I21" s="220">
        <f t="shared" si="3"/>
        <v>0</v>
      </c>
      <c r="J21" s="220">
        <f t="shared" si="3"/>
        <v>0</v>
      </c>
      <c r="K21" s="220">
        <f t="shared" si="3"/>
        <v>31066818</v>
      </c>
      <c r="L21" s="220">
        <f t="shared" si="3"/>
        <v>1096173</v>
      </c>
      <c r="M21" s="221">
        <f t="shared" si="0"/>
        <v>32162991</v>
      </c>
    </row>
    <row r="22" spans="1:13" ht="15" customHeight="1" x14ac:dyDescent="0.25">
      <c r="A22" s="589" t="s">
        <v>124</v>
      </c>
      <c r="B22" s="613" t="s">
        <v>125</v>
      </c>
      <c r="C22" s="613" t="s">
        <v>126</v>
      </c>
      <c r="D22" s="598">
        <v>0.95</v>
      </c>
      <c r="E22" s="215" t="s">
        <v>183</v>
      </c>
      <c r="F22" s="224">
        <v>0</v>
      </c>
      <c r="G22" s="224">
        <v>14724234</v>
      </c>
      <c r="H22" s="224">
        <v>0</v>
      </c>
      <c r="I22" s="224">
        <v>0</v>
      </c>
      <c r="J22" s="224">
        <f>2760794+5060808</f>
        <v>7821602</v>
      </c>
      <c r="K22" s="224">
        <f>SUM(F22:J22)</f>
        <v>22545836</v>
      </c>
      <c r="L22" s="224">
        <v>920265</v>
      </c>
      <c r="M22" s="217">
        <f t="shared" si="0"/>
        <v>23466101</v>
      </c>
    </row>
    <row r="23" spans="1:13" s="225" customFormat="1" ht="15" customHeight="1" x14ac:dyDescent="0.25">
      <c r="A23" s="590"/>
      <c r="B23" s="614"/>
      <c r="C23" s="614"/>
      <c r="D23" s="599"/>
      <c r="E23" s="218" t="s">
        <v>184</v>
      </c>
      <c r="F23" s="205">
        <v>0</v>
      </c>
      <c r="G23" s="205">
        <v>0</v>
      </c>
      <c r="H23" s="205">
        <v>0</v>
      </c>
      <c r="I23" s="205">
        <v>0</v>
      </c>
      <c r="J23" s="205"/>
      <c r="K23" s="205">
        <v>0</v>
      </c>
      <c r="L23" s="205">
        <v>0</v>
      </c>
      <c r="M23" s="206">
        <f t="shared" si="0"/>
        <v>0</v>
      </c>
    </row>
    <row r="24" spans="1:13" ht="15" customHeight="1" thickBot="1" x14ac:dyDescent="0.3">
      <c r="A24" s="591"/>
      <c r="B24" s="615"/>
      <c r="C24" s="615"/>
      <c r="D24" s="600"/>
      <c r="E24" s="219" t="s">
        <v>114</v>
      </c>
      <c r="F24" s="220">
        <f t="shared" ref="F24:L24" si="4">SUM(F22:F23)</f>
        <v>0</v>
      </c>
      <c r="G24" s="220">
        <f t="shared" si="4"/>
        <v>14724234</v>
      </c>
      <c r="H24" s="220">
        <f t="shared" si="4"/>
        <v>0</v>
      </c>
      <c r="I24" s="220">
        <f t="shared" si="4"/>
        <v>0</v>
      </c>
      <c r="J24" s="220">
        <f t="shared" si="4"/>
        <v>7821602</v>
      </c>
      <c r="K24" s="220">
        <f t="shared" si="4"/>
        <v>22545836</v>
      </c>
      <c r="L24" s="220">
        <f t="shared" si="4"/>
        <v>920265</v>
      </c>
      <c r="M24" s="221">
        <f t="shared" si="0"/>
        <v>23466101</v>
      </c>
    </row>
    <row r="25" spans="1:13" ht="15" customHeight="1" x14ac:dyDescent="0.25">
      <c r="A25" s="589" t="s">
        <v>127</v>
      </c>
      <c r="B25" s="593" t="s">
        <v>128</v>
      </c>
      <c r="C25" s="614" t="s">
        <v>129</v>
      </c>
      <c r="D25" s="599">
        <v>0.95</v>
      </c>
      <c r="E25" s="226" t="s">
        <v>183</v>
      </c>
      <c r="F25" s="216">
        <f>3616708+7188710</f>
        <v>10805418</v>
      </c>
      <c r="G25" s="224">
        <f>19289110+1685733</f>
        <v>20974843</v>
      </c>
      <c r="H25" s="224">
        <v>0</v>
      </c>
      <c r="I25" s="224">
        <v>830770</v>
      </c>
      <c r="J25" s="216">
        <v>0</v>
      </c>
      <c r="K25" s="216">
        <f>SUM(F25:J25)</f>
        <v>32611031</v>
      </c>
      <c r="L25" s="216">
        <v>1205569</v>
      </c>
      <c r="M25" s="227">
        <f t="shared" si="0"/>
        <v>33816600</v>
      </c>
    </row>
    <row r="26" spans="1:13" ht="15" customHeight="1" x14ac:dyDescent="0.25">
      <c r="A26" s="590"/>
      <c r="B26" s="593"/>
      <c r="C26" s="614"/>
      <c r="D26" s="599"/>
      <c r="E26" s="218" t="s">
        <v>184</v>
      </c>
      <c r="F26" s="205">
        <v>0</v>
      </c>
      <c r="G26" s="205">
        <v>0</v>
      </c>
      <c r="H26" s="205">
        <v>0</v>
      </c>
      <c r="I26" s="205">
        <v>0</v>
      </c>
      <c r="J26" s="205">
        <v>0</v>
      </c>
      <c r="K26" s="205">
        <v>0</v>
      </c>
      <c r="L26" s="205">
        <v>0</v>
      </c>
      <c r="M26" s="206">
        <f t="shared" si="0"/>
        <v>0</v>
      </c>
    </row>
    <row r="27" spans="1:13" ht="15" customHeight="1" thickBot="1" x14ac:dyDescent="0.3">
      <c r="A27" s="591"/>
      <c r="B27" s="594"/>
      <c r="C27" s="615"/>
      <c r="D27" s="600"/>
      <c r="E27" s="219" t="s">
        <v>114</v>
      </c>
      <c r="F27" s="220">
        <f t="shared" ref="F27:L27" si="5">SUM(F25:F26)</f>
        <v>10805418</v>
      </c>
      <c r="G27" s="220">
        <f t="shared" si="5"/>
        <v>20974843</v>
      </c>
      <c r="H27" s="220">
        <f t="shared" si="5"/>
        <v>0</v>
      </c>
      <c r="I27" s="220">
        <f t="shared" si="5"/>
        <v>830770</v>
      </c>
      <c r="J27" s="220">
        <f t="shared" si="5"/>
        <v>0</v>
      </c>
      <c r="K27" s="220">
        <f t="shared" si="5"/>
        <v>32611031</v>
      </c>
      <c r="L27" s="220">
        <f t="shared" si="5"/>
        <v>1205569</v>
      </c>
      <c r="M27" s="221">
        <f t="shared" si="0"/>
        <v>33816600</v>
      </c>
    </row>
    <row r="28" spans="1:13" ht="15" customHeight="1" x14ac:dyDescent="0.25">
      <c r="A28" s="589" t="s">
        <v>130</v>
      </c>
      <c r="B28" s="592" t="s">
        <v>131</v>
      </c>
      <c r="C28" s="613" t="s">
        <v>132</v>
      </c>
      <c r="D28" s="599">
        <v>0.95</v>
      </c>
      <c r="E28" s="226" t="s">
        <v>183</v>
      </c>
      <c r="F28" s="224">
        <v>2459835</v>
      </c>
      <c r="G28" s="224">
        <v>13119120</v>
      </c>
      <c r="H28" s="224">
        <v>0</v>
      </c>
      <c r="I28" s="224">
        <v>0</v>
      </c>
      <c r="J28" s="224">
        <v>0</v>
      </c>
      <c r="K28" s="224">
        <f>SUM(F28:J28)</f>
        <v>15578955</v>
      </c>
      <c r="L28" s="224">
        <v>819945</v>
      </c>
      <c r="M28" s="227">
        <f t="shared" si="0"/>
        <v>16398900</v>
      </c>
    </row>
    <row r="29" spans="1:13" ht="15" customHeight="1" x14ac:dyDescent="0.25">
      <c r="A29" s="590"/>
      <c r="B29" s="593"/>
      <c r="C29" s="614"/>
      <c r="D29" s="599"/>
      <c r="E29" s="218" t="s">
        <v>184</v>
      </c>
      <c r="F29" s="205">
        <v>0</v>
      </c>
      <c r="G29" s="205">
        <v>0</v>
      </c>
      <c r="H29" s="205">
        <v>0</v>
      </c>
      <c r="I29" s="205">
        <v>0</v>
      </c>
      <c r="J29" s="205"/>
      <c r="K29" s="205">
        <v>0</v>
      </c>
      <c r="L29" s="205">
        <v>0</v>
      </c>
      <c r="M29" s="206">
        <f t="shared" si="0"/>
        <v>0</v>
      </c>
    </row>
    <row r="30" spans="1:13" ht="15" customHeight="1" thickBot="1" x14ac:dyDescent="0.3">
      <c r="A30" s="591"/>
      <c r="B30" s="594"/>
      <c r="C30" s="615"/>
      <c r="D30" s="600"/>
      <c r="E30" s="219" t="s">
        <v>114</v>
      </c>
      <c r="F30" s="220">
        <f t="shared" ref="F30:L30" si="6">SUM(F28:F29)</f>
        <v>2459835</v>
      </c>
      <c r="G30" s="220">
        <f t="shared" si="6"/>
        <v>13119120</v>
      </c>
      <c r="H30" s="220">
        <f t="shared" si="6"/>
        <v>0</v>
      </c>
      <c r="I30" s="220">
        <f t="shared" si="6"/>
        <v>0</v>
      </c>
      <c r="J30" s="220">
        <f t="shared" si="6"/>
        <v>0</v>
      </c>
      <c r="K30" s="220">
        <f t="shared" si="6"/>
        <v>15578955</v>
      </c>
      <c r="L30" s="220">
        <f t="shared" si="6"/>
        <v>819945</v>
      </c>
      <c r="M30" s="221">
        <f t="shared" si="0"/>
        <v>16398900</v>
      </c>
    </row>
    <row r="31" spans="1:13" ht="15" customHeight="1" x14ac:dyDescent="0.25">
      <c r="A31" s="589" t="s">
        <v>133</v>
      </c>
      <c r="B31" s="592" t="s">
        <v>134</v>
      </c>
      <c r="C31" s="613" t="s">
        <v>135</v>
      </c>
      <c r="D31" s="599">
        <v>0.95</v>
      </c>
      <c r="E31" s="226" t="s">
        <v>183</v>
      </c>
      <c r="F31" s="224">
        <f>3414321+6507212</f>
        <v>9921533</v>
      </c>
      <c r="G31" s="224">
        <v>17312914</v>
      </c>
      <c r="H31" s="224">
        <v>0</v>
      </c>
      <c r="I31" s="224">
        <v>896800</v>
      </c>
      <c r="J31" s="224">
        <v>0</v>
      </c>
      <c r="K31" s="224">
        <f>SUM(F31:J31)</f>
        <v>28131247</v>
      </c>
      <c r="L31" s="224">
        <v>1138108</v>
      </c>
      <c r="M31" s="227">
        <f t="shared" si="0"/>
        <v>29269355</v>
      </c>
    </row>
    <row r="32" spans="1:13" s="225" customFormat="1" ht="15" customHeight="1" x14ac:dyDescent="0.25">
      <c r="A32" s="590"/>
      <c r="B32" s="593"/>
      <c r="C32" s="614"/>
      <c r="D32" s="599"/>
      <c r="E32" s="218" t="s">
        <v>184</v>
      </c>
      <c r="F32" s="205">
        <v>0</v>
      </c>
      <c r="G32" s="205">
        <v>0</v>
      </c>
      <c r="H32" s="205">
        <v>0</v>
      </c>
      <c r="I32" s="205">
        <v>0</v>
      </c>
      <c r="J32" s="205"/>
      <c r="K32" s="205">
        <v>0</v>
      </c>
      <c r="L32" s="205">
        <v>0</v>
      </c>
      <c r="M32" s="206">
        <f t="shared" si="0"/>
        <v>0</v>
      </c>
    </row>
    <row r="33" spans="1:13" ht="15" customHeight="1" thickBot="1" x14ac:dyDescent="0.3">
      <c r="A33" s="591"/>
      <c r="B33" s="594"/>
      <c r="C33" s="615"/>
      <c r="D33" s="600"/>
      <c r="E33" s="219" t="s">
        <v>114</v>
      </c>
      <c r="F33" s="220">
        <f t="shared" ref="F33:L33" si="7">SUM(F31:F32)</f>
        <v>9921533</v>
      </c>
      <c r="G33" s="220">
        <f t="shared" si="7"/>
        <v>17312914</v>
      </c>
      <c r="H33" s="220">
        <f t="shared" si="7"/>
        <v>0</v>
      </c>
      <c r="I33" s="220">
        <f t="shared" si="7"/>
        <v>896800</v>
      </c>
      <c r="J33" s="220">
        <f t="shared" si="7"/>
        <v>0</v>
      </c>
      <c r="K33" s="220">
        <f t="shared" si="7"/>
        <v>28131247</v>
      </c>
      <c r="L33" s="220">
        <f t="shared" si="7"/>
        <v>1138108</v>
      </c>
      <c r="M33" s="221">
        <f t="shared" si="0"/>
        <v>29269355</v>
      </c>
    </row>
    <row r="34" spans="1:13" ht="15" customHeight="1" x14ac:dyDescent="0.25">
      <c r="A34" s="589" t="s">
        <v>136</v>
      </c>
      <c r="B34" s="593" t="s">
        <v>137</v>
      </c>
      <c r="C34" s="613">
        <v>101118780</v>
      </c>
      <c r="D34" s="599">
        <v>0.754</v>
      </c>
      <c r="E34" s="226" t="s">
        <v>183</v>
      </c>
      <c r="F34" s="224">
        <v>0</v>
      </c>
      <c r="G34" s="224">
        <f>11920000+1000000</f>
        <v>12920000</v>
      </c>
      <c r="H34" s="224">
        <v>0</v>
      </c>
      <c r="I34" s="224">
        <f>1000000-1000000</f>
        <v>0</v>
      </c>
      <c r="J34" s="224">
        <v>0</v>
      </c>
      <c r="K34" s="224">
        <f>SUM(F34:J34)</f>
        <v>12920000</v>
      </c>
      <c r="L34" s="216">
        <v>4209640</v>
      </c>
      <c r="M34" s="217">
        <f>K34+L34</f>
        <v>17129640</v>
      </c>
    </row>
    <row r="35" spans="1:13" s="225" customFormat="1" ht="15" customHeight="1" x14ac:dyDescent="0.25">
      <c r="A35" s="590"/>
      <c r="B35" s="593"/>
      <c r="C35" s="614"/>
      <c r="D35" s="599"/>
      <c r="E35" s="218" t="s">
        <v>184</v>
      </c>
      <c r="F35" s="205">
        <v>0</v>
      </c>
      <c r="G35" s="205">
        <v>0</v>
      </c>
      <c r="H35" s="205">
        <v>0</v>
      </c>
      <c r="I35" s="205">
        <v>0</v>
      </c>
      <c r="J35" s="205"/>
      <c r="K35" s="205">
        <v>0</v>
      </c>
      <c r="L35" s="205">
        <v>0</v>
      </c>
      <c r="M35" s="206">
        <f>K35+L35</f>
        <v>0</v>
      </c>
    </row>
    <row r="36" spans="1:13" ht="15" customHeight="1" thickBot="1" x14ac:dyDescent="0.3">
      <c r="A36" s="591"/>
      <c r="B36" s="594"/>
      <c r="C36" s="615"/>
      <c r="D36" s="600"/>
      <c r="E36" s="219" t="s">
        <v>114</v>
      </c>
      <c r="F36" s="220">
        <f t="shared" ref="F36:L36" si="8">SUM(F34:F35)</f>
        <v>0</v>
      </c>
      <c r="G36" s="220">
        <f t="shared" si="8"/>
        <v>12920000</v>
      </c>
      <c r="H36" s="220">
        <f t="shared" si="8"/>
        <v>0</v>
      </c>
      <c r="I36" s="220">
        <f t="shared" si="8"/>
        <v>0</v>
      </c>
      <c r="J36" s="220">
        <f t="shared" si="8"/>
        <v>0</v>
      </c>
      <c r="K36" s="220">
        <f t="shared" si="8"/>
        <v>12920000</v>
      </c>
      <c r="L36" s="220">
        <f t="shared" si="8"/>
        <v>4209640</v>
      </c>
      <c r="M36" s="221">
        <f>K36+L36</f>
        <v>17129640</v>
      </c>
    </row>
    <row r="37" spans="1:13" ht="15" customHeight="1" x14ac:dyDescent="0.25">
      <c r="A37" s="589" t="s">
        <v>138</v>
      </c>
      <c r="B37" s="592" t="s">
        <v>167</v>
      </c>
      <c r="C37" s="610" t="s">
        <v>168</v>
      </c>
      <c r="D37" s="598">
        <v>1</v>
      </c>
      <c r="E37" s="228" t="s">
        <v>183</v>
      </c>
      <c r="F37" s="216">
        <v>0</v>
      </c>
      <c r="G37" s="216">
        <v>0</v>
      </c>
      <c r="H37" s="216">
        <v>0</v>
      </c>
      <c r="I37" s="216">
        <v>0</v>
      </c>
      <c r="J37" s="216">
        <v>0</v>
      </c>
      <c r="K37" s="216">
        <f>SUM(F37:J37)</f>
        <v>0</v>
      </c>
      <c r="L37" s="216">
        <v>0</v>
      </c>
      <c r="M37" s="229">
        <f t="shared" ref="M37:M39" si="9">K37+L37</f>
        <v>0</v>
      </c>
    </row>
    <row r="38" spans="1:13" s="225" customFormat="1" ht="15" customHeight="1" x14ac:dyDescent="0.25">
      <c r="A38" s="590"/>
      <c r="B38" s="593"/>
      <c r="C38" s="611"/>
      <c r="D38" s="599"/>
      <c r="E38" s="218" t="s">
        <v>184</v>
      </c>
      <c r="F38" s="205">
        <v>0</v>
      </c>
      <c r="G38" s="205">
        <v>0</v>
      </c>
      <c r="H38" s="205">
        <v>0</v>
      </c>
      <c r="I38" s="205">
        <v>0</v>
      </c>
      <c r="J38" s="205">
        <v>5619431</v>
      </c>
      <c r="K38" s="230">
        <f>SUM(F38:J38)</f>
        <v>5619431</v>
      </c>
      <c r="L38" s="205">
        <v>0</v>
      </c>
      <c r="M38" s="206">
        <f t="shared" si="9"/>
        <v>5619431</v>
      </c>
    </row>
    <row r="39" spans="1:13" ht="15" customHeight="1" thickBot="1" x14ac:dyDescent="0.3">
      <c r="A39" s="591"/>
      <c r="B39" s="594"/>
      <c r="C39" s="612"/>
      <c r="D39" s="600"/>
      <c r="E39" s="219" t="s">
        <v>114</v>
      </c>
      <c r="F39" s="220">
        <f t="shared" ref="F39:L39" si="10">SUM(F37:F38)</f>
        <v>0</v>
      </c>
      <c r="G39" s="220">
        <f t="shared" si="10"/>
        <v>0</v>
      </c>
      <c r="H39" s="220">
        <f t="shared" si="10"/>
        <v>0</v>
      </c>
      <c r="I39" s="220">
        <f t="shared" si="10"/>
        <v>0</v>
      </c>
      <c r="J39" s="220">
        <f t="shared" si="10"/>
        <v>5619431</v>
      </c>
      <c r="K39" s="220">
        <f t="shared" si="10"/>
        <v>5619431</v>
      </c>
      <c r="L39" s="220">
        <f t="shared" si="10"/>
        <v>0</v>
      </c>
      <c r="M39" s="221">
        <f t="shared" si="9"/>
        <v>5619431</v>
      </c>
    </row>
    <row r="40" spans="1:13" ht="15" customHeight="1" x14ac:dyDescent="0.25">
      <c r="A40" s="589" t="s">
        <v>141</v>
      </c>
      <c r="B40" s="592" t="s">
        <v>139</v>
      </c>
      <c r="C40" s="595" t="s">
        <v>140</v>
      </c>
      <c r="D40" s="598">
        <v>1</v>
      </c>
      <c r="E40" s="228" t="s">
        <v>183</v>
      </c>
      <c r="F40" s="224">
        <v>2184400</v>
      </c>
      <c r="G40" s="216">
        <v>0</v>
      </c>
      <c r="H40" s="216">
        <v>0</v>
      </c>
      <c r="I40" s="216">
        <v>0</v>
      </c>
      <c r="J40" s="216">
        <v>5023335</v>
      </c>
      <c r="K40" s="216">
        <f>SUM(F40:J40)</f>
        <v>7207735</v>
      </c>
      <c r="L40" s="216">
        <v>0</v>
      </c>
      <c r="M40" s="229">
        <f t="shared" si="0"/>
        <v>7207735</v>
      </c>
    </row>
    <row r="41" spans="1:13" ht="15" customHeight="1" x14ac:dyDescent="0.25">
      <c r="A41" s="590"/>
      <c r="B41" s="593"/>
      <c r="C41" s="596"/>
      <c r="D41" s="599"/>
      <c r="E41" s="218" t="s">
        <v>184</v>
      </c>
      <c r="F41" s="205">
        <v>0</v>
      </c>
      <c r="G41" s="205">
        <v>0</v>
      </c>
      <c r="H41" s="205">
        <v>0</v>
      </c>
      <c r="I41" s="205">
        <v>0</v>
      </c>
      <c r="J41" s="205">
        <v>0</v>
      </c>
      <c r="K41" s="205">
        <v>0</v>
      </c>
      <c r="L41" s="205">
        <v>0</v>
      </c>
      <c r="M41" s="206">
        <f t="shared" si="0"/>
        <v>0</v>
      </c>
    </row>
    <row r="42" spans="1:13" ht="15" customHeight="1" thickBot="1" x14ac:dyDescent="0.3">
      <c r="A42" s="591"/>
      <c r="B42" s="594"/>
      <c r="C42" s="597"/>
      <c r="D42" s="600"/>
      <c r="E42" s="219" t="s">
        <v>114</v>
      </c>
      <c r="F42" s="220">
        <f t="shared" ref="F42:L42" si="11">SUM(F40:F41)</f>
        <v>2184400</v>
      </c>
      <c r="G42" s="220">
        <f t="shared" si="11"/>
        <v>0</v>
      </c>
      <c r="H42" s="220">
        <f t="shared" si="11"/>
        <v>0</v>
      </c>
      <c r="I42" s="220">
        <f t="shared" si="11"/>
        <v>0</v>
      </c>
      <c r="J42" s="220">
        <f t="shared" si="11"/>
        <v>5023335</v>
      </c>
      <c r="K42" s="220">
        <f t="shared" si="11"/>
        <v>7207735</v>
      </c>
      <c r="L42" s="220">
        <f t="shared" si="11"/>
        <v>0</v>
      </c>
      <c r="M42" s="221">
        <f t="shared" si="0"/>
        <v>7207735</v>
      </c>
    </row>
    <row r="43" spans="1:13" ht="15" customHeight="1" x14ac:dyDescent="0.25">
      <c r="A43" s="589" t="s">
        <v>144</v>
      </c>
      <c r="B43" s="609" t="s">
        <v>142</v>
      </c>
      <c r="C43" s="610" t="s">
        <v>143</v>
      </c>
      <c r="D43" s="598">
        <v>1</v>
      </c>
      <c r="E43" s="215" t="s">
        <v>183</v>
      </c>
      <c r="F43" s="216">
        <v>0</v>
      </c>
      <c r="G43" s="216">
        <v>0</v>
      </c>
      <c r="H43" s="216">
        <v>0</v>
      </c>
      <c r="I43" s="216">
        <v>0</v>
      </c>
      <c r="J43" s="216">
        <v>26273766</v>
      </c>
      <c r="K43" s="216">
        <f>SUM(F43:J43)</f>
        <v>26273766</v>
      </c>
      <c r="L43" s="216">
        <v>0</v>
      </c>
      <c r="M43" s="217">
        <f t="shared" si="0"/>
        <v>26273766</v>
      </c>
    </row>
    <row r="44" spans="1:13" ht="15" customHeight="1" x14ac:dyDescent="0.25">
      <c r="A44" s="590"/>
      <c r="B44" s="604"/>
      <c r="C44" s="611"/>
      <c r="D44" s="599"/>
      <c r="E44" s="218" t="s">
        <v>184</v>
      </c>
      <c r="F44" s="205">
        <v>0</v>
      </c>
      <c r="G44" s="205">
        <v>0</v>
      </c>
      <c r="H44" s="205">
        <v>0</v>
      </c>
      <c r="I44" s="205">
        <v>0</v>
      </c>
      <c r="J44" s="205">
        <v>0</v>
      </c>
      <c r="K44" s="205">
        <v>0</v>
      </c>
      <c r="L44" s="205">
        <v>0</v>
      </c>
      <c r="M44" s="206">
        <f t="shared" si="0"/>
        <v>0</v>
      </c>
    </row>
    <row r="45" spans="1:13" ht="15" customHeight="1" thickBot="1" x14ac:dyDescent="0.3">
      <c r="A45" s="591"/>
      <c r="B45" s="605"/>
      <c r="C45" s="612"/>
      <c r="D45" s="600"/>
      <c r="E45" s="219" t="s">
        <v>114</v>
      </c>
      <c r="F45" s="220">
        <f t="shared" ref="F45:L45" si="12">SUM(F43:F44)</f>
        <v>0</v>
      </c>
      <c r="G45" s="220">
        <f t="shared" si="12"/>
        <v>0</v>
      </c>
      <c r="H45" s="220">
        <f t="shared" si="12"/>
        <v>0</v>
      </c>
      <c r="I45" s="220">
        <f t="shared" si="12"/>
        <v>0</v>
      </c>
      <c r="J45" s="220">
        <f t="shared" si="12"/>
        <v>26273766</v>
      </c>
      <c r="K45" s="220">
        <f t="shared" si="12"/>
        <v>26273766</v>
      </c>
      <c r="L45" s="220">
        <f t="shared" si="12"/>
        <v>0</v>
      </c>
      <c r="M45" s="221">
        <f t="shared" si="0"/>
        <v>26273766</v>
      </c>
    </row>
    <row r="46" spans="1:13" ht="15" customHeight="1" x14ac:dyDescent="0.25">
      <c r="A46" s="589" t="s">
        <v>147</v>
      </c>
      <c r="B46" s="609" t="s">
        <v>145</v>
      </c>
      <c r="C46" s="610" t="s">
        <v>146</v>
      </c>
      <c r="D46" s="598">
        <v>1</v>
      </c>
      <c r="E46" s="215" t="s">
        <v>183</v>
      </c>
      <c r="F46" s="224">
        <f>11594464+18938922</f>
        <v>30533386</v>
      </c>
      <c r="G46" s="224">
        <v>0</v>
      </c>
      <c r="H46" s="224">
        <v>6402251</v>
      </c>
      <c r="I46" s="216">
        <v>0</v>
      </c>
      <c r="J46" s="216">
        <v>0</v>
      </c>
      <c r="K46" s="216">
        <f>SUM(F46:J46)</f>
        <v>36935637</v>
      </c>
      <c r="L46" s="216">
        <v>0</v>
      </c>
      <c r="M46" s="217">
        <f t="shared" si="0"/>
        <v>36935637</v>
      </c>
    </row>
    <row r="47" spans="1:13" ht="15" customHeight="1" x14ac:dyDescent="0.25">
      <c r="A47" s="590"/>
      <c r="B47" s="604"/>
      <c r="C47" s="611"/>
      <c r="D47" s="599"/>
      <c r="E47" s="218" t="s">
        <v>184</v>
      </c>
      <c r="F47" s="205">
        <v>0</v>
      </c>
      <c r="G47" s="205">
        <v>0</v>
      </c>
      <c r="H47" s="205">
        <v>0</v>
      </c>
      <c r="I47" s="205">
        <v>0</v>
      </c>
      <c r="J47" s="205">
        <v>0</v>
      </c>
      <c r="K47" s="205">
        <v>0</v>
      </c>
      <c r="L47" s="205">
        <v>0</v>
      </c>
      <c r="M47" s="206">
        <f t="shared" si="0"/>
        <v>0</v>
      </c>
    </row>
    <row r="48" spans="1:13" ht="15" customHeight="1" thickBot="1" x14ac:dyDescent="0.3">
      <c r="A48" s="591"/>
      <c r="B48" s="605"/>
      <c r="C48" s="612"/>
      <c r="D48" s="600"/>
      <c r="E48" s="219" t="s">
        <v>114</v>
      </c>
      <c r="F48" s="220">
        <f t="shared" ref="F48:L48" si="13">SUM(F46:F47)</f>
        <v>30533386</v>
      </c>
      <c r="G48" s="220">
        <f t="shared" si="13"/>
        <v>0</v>
      </c>
      <c r="H48" s="220">
        <f t="shared" si="13"/>
        <v>6402251</v>
      </c>
      <c r="I48" s="220">
        <f t="shared" si="13"/>
        <v>0</v>
      </c>
      <c r="J48" s="220">
        <f t="shared" si="13"/>
        <v>0</v>
      </c>
      <c r="K48" s="220">
        <f t="shared" si="13"/>
        <v>36935637</v>
      </c>
      <c r="L48" s="220">
        <f t="shared" si="13"/>
        <v>0</v>
      </c>
      <c r="M48" s="221">
        <f t="shared" si="0"/>
        <v>36935637</v>
      </c>
    </row>
    <row r="49" spans="1:13" ht="15" customHeight="1" x14ac:dyDescent="0.25">
      <c r="A49" s="589" t="s">
        <v>150</v>
      </c>
      <c r="B49" s="592" t="s">
        <v>148</v>
      </c>
      <c r="C49" s="606" t="s">
        <v>149</v>
      </c>
      <c r="D49" s="598">
        <v>1</v>
      </c>
      <c r="E49" s="215" t="s">
        <v>183</v>
      </c>
      <c r="F49" s="216">
        <v>0</v>
      </c>
      <c r="G49" s="216">
        <v>0</v>
      </c>
      <c r="H49" s="216">
        <v>0</v>
      </c>
      <c r="I49" s="216">
        <v>0</v>
      </c>
      <c r="J49" s="216">
        <v>2066271</v>
      </c>
      <c r="K49" s="216">
        <f>SUM(F49:J49)</f>
        <v>2066271</v>
      </c>
      <c r="L49" s="216">
        <v>0</v>
      </c>
      <c r="M49" s="217">
        <f>K49+L49</f>
        <v>2066271</v>
      </c>
    </row>
    <row r="50" spans="1:13" ht="15" customHeight="1" x14ac:dyDescent="0.25">
      <c r="A50" s="590"/>
      <c r="B50" s="593"/>
      <c r="C50" s="607"/>
      <c r="D50" s="599"/>
      <c r="E50" s="218" t="s">
        <v>184</v>
      </c>
      <c r="F50" s="205">
        <v>0</v>
      </c>
      <c r="G50" s="205">
        <v>0</v>
      </c>
      <c r="H50" s="205">
        <v>0</v>
      </c>
      <c r="I50" s="205">
        <v>0</v>
      </c>
      <c r="J50" s="205">
        <v>0</v>
      </c>
      <c r="K50" s="230">
        <f>SUM(F50:J50)</f>
        <v>0</v>
      </c>
      <c r="L50" s="205">
        <v>0</v>
      </c>
      <c r="M50" s="206">
        <f>K50+L50</f>
        <v>0</v>
      </c>
    </row>
    <row r="51" spans="1:13" ht="15" customHeight="1" thickBot="1" x14ac:dyDescent="0.3">
      <c r="A51" s="591"/>
      <c r="B51" s="594"/>
      <c r="C51" s="608"/>
      <c r="D51" s="600"/>
      <c r="E51" s="219" t="s">
        <v>114</v>
      </c>
      <c r="F51" s="220">
        <f t="shared" ref="F51:L51" si="14">SUM(F49:F50)</f>
        <v>0</v>
      </c>
      <c r="G51" s="220">
        <f t="shared" si="14"/>
        <v>0</v>
      </c>
      <c r="H51" s="220">
        <f t="shared" si="14"/>
        <v>0</v>
      </c>
      <c r="I51" s="220">
        <f t="shared" si="14"/>
        <v>0</v>
      </c>
      <c r="J51" s="220">
        <f t="shared" si="14"/>
        <v>2066271</v>
      </c>
      <c r="K51" s="220">
        <f t="shared" si="14"/>
        <v>2066271</v>
      </c>
      <c r="L51" s="220">
        <f t="shared" si="14"/>
        <v>0</v>
      </c>
      <c r="M51" s="221">
        <f>K51+L51</f>
        <v>2066271</v>
      </c>
    </row>
    <row r="52" spans="1:13" ht="15" customHeight="1" x14ac:dyDescent="0.25">
      <c r="A52" s="589" t="s">
        <v>153</v>
      </c>
      <c r="B52" s="592" t="s">
        <v>151</v>
      </c>
      <c r="C52" s="606" t="s">
        <v>152</v>
      </c>
      <c r="D52" s="598">
        <v>1</v>
      </c>
      <c r="E52" s="215" t="s">
        <v>183</v>
      </c>
      <c r="F52" s="216">
        <f>278212008+280534559</f>
        <v>558746567</v>
      </c>
      <c r="G52" s="216">
        <v>0</v>
      </c>
      <c r="H52" s="216">
        <v>0</v>
      </c>
      <c r="I52" s="216">
        <v>0</v>
      </c>
      <c r="J52" s="216">
        <v>126154262</v>
      </c>
      <c r="K52" s="216">
        <f>SUM(F52:J52)</f>
        <v>684900829</v>
      </c>
      <c r="L52" s="216">
        <v>0</v>
      </c>
      <c r="M52" s="217">
        <f t="shared" si="0"/>
        <v>684900829</v>
      </c>
    </row>
    <row r="53" spans="1:13" ht="15" customHeight="1" x14ac:dyDescent="0.25">
      <c r="A53" s="590"/>
      <c r="B53" s="593"/>
      <c r="C53" s="607"/>
      <c r="D53" s="599"/>
      <c r="E53" s="218" t="s">
        <v>184</v>
      </c>
      <c r="F53" s="205">
        <v>0</v>
      </c>
      <c r="G53" s="205">
        <v>0</v>
      </c>
      <c r="H53" s="205">
        <v>0</v>
      </c>
      <c r="I53" s="205">
        <v>0</v>
      </c>
      <c r="J53" s="205">
        <v>0</v>
      </c>
      <c r="K53" s="230">
        <f>SUM(F53:J53)</f>
        <v>0</v>
      </c>
      <c r="L53" s="205">
        <v>0</v>
      </c>
      <c r="M53" s="206">
        <f t="shared" si="0"/>
        <v>0</v>
      </c>
    </row>
    <row r="54" spans="1:13" ht="15" customHeight="1" thickBot="1" x14ac:dyDescent="0.3">
      <c r="A54" s="591"/>
      <c r="B54" s="594"/>
      <c r="C54" s="608"/>
      <c r="D54" s="600"/>
      <c r="E54" s="219" t="s">
        <v>114</v>
      </c>
      <c r="F54" s="220">
        <f t="shared" ref="F54:L54" si="15">SUM(F52:F53)</f>
        <v>558746567</v>
      </c>
      <c r="G54" s="220">
        <f t="shared" si="15"/>
        <v>0</v>
      </c>
      <c r="H54" s="220">
        <f t="shared" si="15"/>
        <v>0</v>
      </c>
      <c r="I54" s="220">
        <f t="shared" si="15"/>
        <v>0</v>
      </c>
      <c r="J54" s="220">
        <f t="shared" si="15"/>
        <v>126154262</v>
      </c>
      <c r="K54" s="220">
        <f t="shared" si="15"/>
        <v>684900829</v>
      </c>
      <c r="L54" s="220">
        <f t="shared" si="15"/>
        <v>0</v>
      </c>
      <c r="M54" s="221">
        <f t="shared" si="0"/>
        <v>684900829</v>
      </c>
    </row>
    <row r="55" spans="1:13" ht="15" customHeight="1" x14ac:dyDescent="0.25">
      <c r="A55" s="589" t="s">
        <v>156</v>
      </c>
      <c r="B55" s="604" t="s">
        <v>154</v>
      </c>
      <c r="C55" s="596" t="s">
        <v>155</v>
      </c>
      <c r="D55" s="599">
        <v>1</v>
      </c>
      <c r="E55" s="228" t="s">
        <v>183</v>
      </c>
      <c r="F55" s="230">
        <v>0</v>
      </c>
      <c r="G55" s="230">
        <v>0</v>
      </c>
      <c r="H55" s="230">
        <v>0</v>
      </c>
      <c r="I55" s="230">
        <v>0</v>
      </c>
      <c r="J55" s="230">
        <v>191995</v>
      </c>
      <c r="K55" s="230">
        <f>SUM(F55:J55)</f>
        <v>191995</v>
      </c>
      <c r="L55" s="230">
        <v>0</v>
      </c>
      <c r="M55" s="229">
        <f t="shared" si="0"/>
        <v>191995</v>
      </c>
    </row>
    <row r="56" spans="1:13" ht="15" customHeight="1" x14ac:dyDescent="0.25">
      <c r="A56" s="590"/>
      <c r="B56" s="604"/>
      <c r="C56" s="596"/>
      <c r="D56" s="599"/>
      <c r="E56" s="218" t="s">
        <v>184</v>
      </c>
      <c r="F56" s="205">
        <v>0</v>
      </c>
      <c r="G56" s="205">
        <v>0</v>
      </c>
      <c r="H56" s="205">
        <v>0</v>
      </c>
      <c r="I56" s="205">
        <v>0</v>
      </c>
      <c r="J56" s="205">
        <v>0</v>
      </c>
      <c r="K56" s="205">
        <v>0</v>
      </c>
      <c r="L56" s="205">
        <v>0</v>
      </c>
      <c r="M56" s="206">
        <f t="shared" si="0"/>
        <v>0</v>
      </c>
    </row>
    <row r="57" spans="1:13" ht="15" customHeight="1" thickBot="1" x14ac:dyDescent="0.3">
      <c r="A57" s="591"/>
      <c r="B57" s="605"/>
      <c r="C57" s="597"/>
      <c r="D57" s="600"/>
      <c r="E57" s="219" t="s">
        <v>114</v>
      </c>
      <c r="F57" s="220">
        <f t="shared" ref="F57:L57" si="16">SUM(F55:F56)</f>
        <v>0</v>
      </c>
      <c r="G57" s="220">
        <f t="shared" si="16"/>
        <v>0</v>
      </c>
      <c r="H57" s="220">
        <f t="shared" si="16"/>
        <v>0</v>
      </c>
      <c r="I57" s="220">
        <f t="shared" si="16"/>
        <v>0</v>
      </c>
      <c r="J57" s="220">
        <f t="shared" si="16"/>
        <v>191995</v>
      </c>
      <c r="K57" s="220">
        <f t="shared" si="16"/>
        <v>191995</v>
      </c>
      <c r="L57" s="220">
        <f t="shared" si="16"/>
        <v>0</v>
      </c>
      <c r="M57" s="221">
        <f t="shared" si="0"/>
        <v>191995</v>
      </c>
    </row>
    <row r="58" spans="1:13" ht="15" customHeight="1" x14ac:dyDescent="0.25">
      <c r="A58" s="589" t="s">
        <v>159</v>
      </c>
      <c r="B58" s="593" t="s">
        <v>157</v>
      </c>
      <c r="C58" s="596" t="s">
        <v>158</v>
      </c>
      <c r="D58" s="599">
        <v>1</v>
      </c>
      <c r="E58" s="215" t="s">
        <v>183</v>
      </c>
      <c r="F58" s="216">
        <v>0</v>
      </c>
      <c r="G58" s="216">
        <v>0</v>
      </c>
      <c r="H58" s="216">
        <v>0</v>
      </c>
      <c r="I58" s="216">
        <v>0</v>
      </c>
      <c r="J58" s="216">
        <v>283673</v>
      </c>
      <c r="K58" s="216">
        <f>SUM(F58:J58)</f>
        <v>283673</v>
      </c>
      <c r="L58" s="216">
        <v>0</v>
      </c>
      <c r="M58" s="217">
        <f t="shared" si="0"/>
        <v>283673</v>
      </c>
    </row>
    <row r="59" spans="1:13" ht="15" customHeight="1" x14ac:dyDescent="0.25">
      <c r="A59" s="590"/>
      <c r="B59" s="593"/>
      <c r="C59" s="596"/>
      <c r="D59" s="599"/>
      <c r="E59" s="218" t="s">
        <v>184</v>
      </c>
      <c r="F59" s="205">
        <v>0</v>
      </c>
      <c r="G59" s="205">
        <v>0</v>
      </c>
      <c r="H59" s="205">
        <v>0</v>
      </c>
      <c r="I59" s="205">
        <v>0</v>
      </c>
      <c r="J59" s="205">
        <v>0</v>
      </c>
      <c r="K59" s="205">
        <v>0</v>
      </c>
      <c r="L59" s="205">
        <v>0</v>
      </c>
      <c r="M59" s="206">
        <f t="shared" si="0"/>
        <v>0</v>
      </c>
    </row>
    <row r="60" spans="1:13" ht="15" customHeight="1" thickBot="1" x14ac:dyDescent="0.3">
      <c r="A60" s="591"/>
      <c r="B60" s="593"/>
      <c r="C60" s="596"/>
      <c r="D60" s="599"/>
      <c r="E60" s="231" t="s">
        <v>114</v>
      </c>
      <c r="F60" s="232">
        <f t="shared" ref="F60:L60" si="17">SUM(F58:F59)</f>
        <v>0</v>
      </c>
      <c r="G60" s="232">
        <f t="shared" si="17"/>
        <v>0</v>
      </c>
      <c r="H60" s="232">
        <f t="shared" si="17"/>
        <v>0</v>
      </c>
      <c r="I60" s="232">
        <f t="shared" si="17"/>
        <v>0</v>
      </c>
      <c r="J60" s="232">
        <f t="shared" si="17"/>
        <v>283673</v>
      </c>
      <c r="K60" s="232">
        <f t="shared" si="17"/>
        <v>283673</v>
      </c>
      <c r="L60" s="232">
        <f t="shared" si="17"/>
        <v>0</v>
      </c>
      <c r="M60" s="233">
        <f t="shared" si="0"/>
        <v>283673</v>
      </c>
    </row>
    <row r="61" spans="1:13" ht="15" customHeight="1" x14ac:dyDescent="0.25">
      <c r="A61" s="589" t="s">
        <v>162</v>
      </c>
      <c r="B61" s="592" t="s">
        <v>160</v>
      </c>
      <c r="C61" s="595" t="s">
        <v>161</v>
      </c>
      <c r="D61" s="598">
        <v>1</v>
      </c>
      <c r="E61" s="215" t="s">
        <v>183</v>
      </c>
      <c r="F61" s="216">
        <v>0</v>
      </c>
      <c r="G61" s="216">
        <v>0</v>
      </c>
      <c r="H61" s="216">
        <v>0</v>
      </c>
      <c r="I61" s="216">
        <v>0</v>
      </c>
      <c r="J61" s="216">
        <v>42397</v>
      </c>
      <c r="K61" s="216">
        <f>SUM(F61:J61)</f>
        <v>42397</v>
      </c>
      <c r="L61" s="216">
        <v>0</v>
      </c>
      <c r="M61" s="217">
        <f t="shared" si="0"/>
        <v>42397</v>
      </c>
    </row>
    <row r="62" spans="1:13" ht="15" customHeight="1" x14ac:dyDescent="0.25">
      <c r="A62" s="590"/>
      <c r="B62" s="593"/>
      <c r="C62" s="596"/>
      <c r="D62" s="599"/>
      <c r="E62" s="218" t="s">
        <v>184</v>
      </c>
      <c r="F62" s="205">
        <v>0</v>
      </c>
      <c r="G62" s="205">
        <v>0</v>
      </c>
      <c r="H62" s="205">
        <v>0</v>
      </c>
      <c r="I62" s="205">
        <v>0</v>
      </c>
      <c r="J62" s="205">
        <v>0</v>
      </c>
      <c r="K62" s="205">
        <v>0</v>
      </c>
      <c r="L62" s="205">
        <v>0</v>
      </c>
      <c r="M62" s="206">
        <f t="shared" si="0"/>
        <v>0</v>
      </c>
    </row>
    <row r="63" spans="1:13" ht="15" customHeight="1" thickBot="1" x14ac:dyDescent="0.3">
      <c r="A63" s="591"/>
      <c r="B63" s="594"/>
      <c r="C63" s="597"/>
      <c r="D63" s="600"/>
      <c r="E63" s="219" t="s">
        <v>114</v>
      </c>
      <c r="F63" s="220">
        <f t="shared" ref="F63:L63" si="18">SUM(F61:F62)</f>
        <v>0</v>
      </c>
      <c r="G63" s="220">
        <f t="shared" si="18"/>
        <v>0</v>
      </c>
      <c r="H63" s="220">
        <f t="shared" si="18"/>
        <v>0</v>
      </c>
      <c r="I63" s="220">
        <f t="shared" si="18"/>
        <v>0</v>
      </c>
      <c r="J63" s="220">
        <f t="shared" si="18"/>
        <v>42397</v>
      </c>
      <c r="K63" s="220">
        <f t="shared" si="18"/>
        <v>42397</v>
      </c>
      <c r="L63" s="220">
        <f t="shared" si="18"/>
        <v>0</v>
      </c>
      <c r="M63" s="221">
        <f t="shared" si="0"/>
        <v>42397</v>
      </c>
    </row>
    <row r="64" spans="1:13" ht="15" customHeight="1" x14ac:dyDescent="0.25">
      <c r="A64" s="589" t="s">
        <v>185</v>
      </c>
      <c r="B64" s="592" t="s">
        <v>163</v>
      </c>
      <c r="C64" s="601" t="s">
        <v>164</v>
      </c>
      <c r="D64" s="598">
        <v>1</v>
      </c>
      <c r="E64" s="215" t="s">
        <v>183</v>
      </c>
      <c r="F64" s="216">
        <v>1064771551</v>
      </c>
      <c r="G64" s="216">
        <v>0</v>
      </c>
      <c r="H64" s="216">
        <v>52113449</v>
      </c>
      <c r="I64" s="216">
        <v>0</v>
      </c>
      <c r="J64" s="216">
        <v>0</v>
      </c>
      <c r="K64" s="216">
        <f>SUM(F64:J64)</f>
        <v>1116885000</v>
      </c>
      <c r="L64" s="216">
        <v>0</v>
      </c>
      <c r="M64" s="217">
        <f t="shared" si="0"/>
        <v>1116885000</v>
      </c>
    </row>
    <row r="65" spans="1:13" ht="15" customHeight="1" x14ac:dyDescent="0.25">
      <c r="A65" s="590"/>
      <c r="B65" s="593"/>
      <c r="C65" s="602"/>
      <c r="D65" s="599"/>
      <c r="E65" s="218" t="s">
        <v>184</v>
      </c>
      <c r="F65" s="205">
        <v>0</v>
      </c>
      <c r="G65" s="205">
        <v>0</v>
      </c>
      <c r="H65" s="205">
        <v>0</v>
      </c>
      <c r="I65" s="205">
        <v>0</v>
      </c>
      <c r="J65" s="205">
        <v>0</v>
      </c>
      <c r="K65" s="205">
        <v>0</v>
      </c>
      <c r="L65" s="205">
        <v>0</v>
      </c>
      <c r="M65" s="206">
        <f t="shared" si="0"/>
        <v>0</v>
      </c>
    </row>
    <row r="66" spans="1:13" ht="15" customHeight="1" thickBot="1" x14ac:dyDescent="0.3">
      <c r="A66" s="591"/>
      <c r="B66" s="594"/>
      <c r="C66" s="603"/>
      <c r="D66" s="600"/>
      <c r="E66" s="219" t="s">
        <v>114</v>
      </c>
      <c r="F66" s="220">
        <f t="shared" ref="F66:L66" si="19">SUM(F64:F65)</f>
        <v>1064771551</v>
      </c>
      <c r="G66" s="220">
        <f t="shared" si="19"/>
        <v>0</v>
      </c>
      <c r="H66" s="220">
        <f t="shared" si="19"/>
        <v>52113449</v>
      </c>
      <c r="I66" s="220">
        <f t="shared" si="19"/>
        <v>0</v>
      </c>
      <c r="J66" s="220">
        <f t="shared" si="19"/>
        <v>0</v>
      </c>
      <c r="K66" s="220">
        <f t="shared" si="19"/>
        <v>1116885000</v>
      </c>
      <c r="L66" s="220">
        <f t="shared" si="19"/>
        <v>0</v>
      </c>
      <c r="M66" s="221">
        <f t="shared" si="0"/>
        <v>1116885000</v>
      </c>
    </row>
    <row r="67" spans="1:13" ht="15" customHeight="1" x14ac:dyDescent="0.25">
      <c r="A67" s="581" t="s">
        <v>170</v>
      </c>
      <c r="B67" s="582"/>
      <c r="C67" s="582"/>
      <c r="D67" s="583"/>
      <c r="E67" s="234" t="s">
        <v>183</v>
      </c>
      <c r="F67" s="235">
        <f>F13+F16+F19+F22+F25+F34+F40+F43+F46+F52+F49+F55+F58+F61+F28+F31+F37+F64</f>
        <v>1691902671</v>
      </c>
      <c r="G67" s="235">
        <f t="shared" ref="G67:M68" si="20">G13+G16+G19+G22+G25+G34+G40+G43+G46+G52+G49+G55+G58+G61+G28+G31+G37+G64</f>
        <v>131166833</v>
      </c>
      <c r="H67" s="235">
        <f t="shared" si="20"/>
        <v>58515700</v>
      </c>
      <c r="I67" s="235">
        <f t="shared" si="20"/>
        <v>2212849</v>
      </c>
      <c r="J67" s="235">
        <f t="shared" si="20"/>
        <v>186047706</v>
      </c>
      <c r="K67" s="235">
        <f t="shared" si="20"/>
        <v>2069845759</v>
      </c>
      <c r="L67" s="235">
        <f t="shared" si="20"/>
        <v>11360925</v>
      </c>
      <c r="M67" s="236">
        <f t="shared" si="20"/>
        <v>2081206684</v>
      </c>
    </row>
    <row r="68" spans="1:13" ht="15" customHeight="1" x14ac:dyDescent="0.25">
      <c r="A68" s="584"/>
      <c r="B68" s="585"/>
      <c r="C68" s="585"/>
      <c r="D68" s="586"/>
      <c r="E68" s="237" t="s">
        <v>184</v>
      </c>
      <c r="F68" s="238">
        <f>F14+F17+F20+F23+F26+F35+F41+F44+F47+F53+F50+F56+F59+F62+F29+F32+F38+F65</f>
        <v>0</v>
      </c>
      <c r="G68" s="238">
        <f t="shared" si="20"/>
        <v>0</v>
      </c>
      <c r="H68" s="238">
        <f t="shared" si="20"/>
        <v>0</v>
      </c>
      <c r="I68" s="238">
        <f t="shared" si="20"/>
        <v>0</v>
      </c>
      <c r="J68" s="238">
        <f t="shared" si="20"/>
        <v>5619431</v>
      </c>
      <c r="K68" s="238">
        <f t="shared" si="20"/>
        <v>5619431</v>
      </c>
      <c r="L68" s="238">
        <f t="shared" si="20"/>
        <v>0</v>
      </c>
      <c r="M68" s="239">
        <f t="shared" si="20"/>
        <v>5619431</v>
      </c>
    </row>
    <row r="69" spans="1:13" ht="15" customHeight="1" thickBot="1" x14ac:dyDescent="0.3">
      <c r="A69" s="555"/>
      <c r="B69" s="556"/>
      <c r="C69" s="556"/>
      <c r="D69" s="587"/>
      <c r="E69" s="240" t="s">
        <v>114</v>
      </c>
      <c r="F69" s="241">
        <f t="shared" ref="F69:M69" si="21">SUM(F67:F68)</f>
        <v>1691902671</v>
      </c>
      <c r="G69" s="241">
        <f t="shared" ref="G69:H69" si="22">SUM(G67:G68)</f>
        <v>131166833</v>
      </c>
      <c r="H69" s="241">
        <f t="shared" si="22"/>
        <v>58515700</v>
      </c>
      <c r="I69" s="241">
        <f t="shared" si="21"/>
        <v>2212849</v>
      </c>
      <c r="J69" s="241">
        <f t="shared" si="21"/>
        <v>191667137</v>
      </c>
      <c r="K69" s="241">
        <f t="shared" si="21"/>
        <v>2075465190</v>
      </c>
      <c r="L69" s="241">
        <f t="shared" si="21"/>
        <v>11360925</v>
      </c>
      <c r="M69" s="242">
        <f t="shared" si="21"/>
        <v>2086826115</v>
      </c>
    </row>
    <row r="70" spans="1:13" ht="15" customHeight="1" x14ac:dyDescent="0.25">
      <c r="A70" s="588"/>
      <c r="B70" s="588"/>
      <c r="C70" s="588"/>
      <c r="D70" s="588"/>
      <c r="E70" s="588"/>
      <c r="F70" s="588"/>
      <c r="G70" s="588"/>
      <c r="H70" s="588"/>
      <c r="I70" s="588"/>
    </row>
  </sheetData>
  <mergeCells count="95">
    <mergeCell ref="A7:M7"/>
    <mergeCell ref="L8:M8"/>
    <mergeCell ref="A9:A12"/>
    <mergeCell ref="J11:J12"/>
    <mergeCell ref="K11:K12"/>
    <mergeCell ref="B9:D9"/>
    <mergeCell ref="E9:K9"/>
    <mergeCell ref="L9:L12"/>
    <mergeCell ref="M9:M12"/>
    <mergeCell ref="B10:B12"/>
    <mergeCell ref="C10:C12"/>
    <mergeCell ref="D10:D12"/>
    <mergeCell ref="E10:E12"/>
    <mergeCell ref="F10:K10"/>
    <mergeCell ref="F11:G11"/>
    <mergeCell ref="H11:I11"/>
    <mergeCell ref="E1:M1"/>
    <mergeCell ref="E2:M2"/>
    <mergeCell ref="A4:M4"/>
    <mergeCell ref="A5:M5"/>
    <mergeCell ref="A6:M6"/>
    <mergeCell ref="C13:C15"/>
    <mergeCell ref="D13:D15"/>
    <mergeCell ref="A16:A18"/>
    <mergeCell ref="B16:B18"/>
    <mergeCell ref="C16:C18"/>
    <mergeCell ref="D16:D18"/>
    <mergeCell ref="A13:A15"/>
    <mergeCell ref="B13:B15"/>
    <mergeCell ref="A19:A21"/>
    <mergeCell ref="B19:B21"/>
    <mergeCell ref="C19:C21"/>
    <mergeCell ref="D19:D21"/>
    <mergeCell ref="A22:A24"/>
    <mergeCell ref="B22:B24"/>
    <mergeCell ref="C22:C24"/>
    <mergeCell ref="D22:D24"/>
    <mergeCell ref="A25:A27"/>
    <mergeCell ref="B25:B27"/>
    <mergeCell ref="C25:C27"/>
    <mergeCell ref="D25:D27"/>
    <mergeCell ref="A28:A30"/>
    <mergeCell ref="B28:B30"/>
    <mergeCell ref="C28:C30"/>
    <mergeCell ref="D28:D30"/>
    <mergeCell ref="A31:A33"/>
    <mergeCell ref="B31:B33"/>
    <mergeCell ref="C31:C33"/>
    <mergeCell ref="D31:D33"/>
    <mergeCell ref="A34:A36"/>
    <mergeCell ref="B34:B36"/>
    <mergeCell ref="C34:C36"/>
    <mergeCell ref="D34:D36"/>
    <mergeCell ref="A37:A39"/>
    <mergeCell ref="B37:B39"/>
    <mergeCell ref="C37:C39"/>
    <mergeCell ref="D37:D39"/>
    <mergeCell ref="A40:A42"/>
    <mergeCell ref="B40:B42"/>
    <mergeCell ref="C40:C42"/>
    <mergeCell ref="D40:D42"/>
    <mergeCell ref="A43:A45"/>
    <mergeCell ref="B43:B45"/>
    <mergeCell ref="C43:C45"/>
    <mergeCell ref="D43:D45"/>
    <mergeCell ref="A46:A48"/>
    <mergeCell ref="B46:B48"/>
    <mergeCell ref="C46:C48"/>
    <mergeCell ref="D46:D48"/>
    <mergeCell ref="A49:A51"/>
    <mergeCell ref="B49:B51"/>
    <mergeCell ref="C49:C51"/>
    <mergeCell ref="D49:D51"/>
    <mergeCell ref="A52:A54"/>
    <mergeCell ref="B52:B54"/>
    <mergeCell ref="C52:C54"/>
    <mergeCell ref="D52:D54"/>
    <mergeCell ref="A55:A57"/>
    <mergeCell ref="B55:B57"/>
    <mergeCell ref="C55:C57"/>
    <mergeCell ref="D55:D57"/>
    <mergeCell ref="A58:A60"/>
    <mergeCell ref="B58:B60"/>
    <mergeCell ref="C58:C60"/>
    <mergeCell ref="D58:D60"/>
    <mergeCell ref="A67:D69"/>
    <mergeCell ref="A70:I70"/>
    <mergeCell ref="A61:A63"/>
    <mergeCell ref="B61:B63"/>
    <mergeCell ref="C61:C63"/>
    <mergeCell ref="D61:D63"/>
    <mergeCell ref="A64:A66"/>
    <mergeCell ref="B64:B66"/>
    <mergeCell ref="C64:C66"/>
    <mergeCell ref="D64:D66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82" orientation="landscape" r:id="rId1"/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B304-989C-485D-A6D7-4A2901858EC2}">
  <sheetPr>
    <tabColor theme="8" tint="0.59999389629810485"/>
  </sheetPr>
  <dimension ref="A1:K70"/>
  <sheetViews>
    <sheetView zoomScaleNormal="100" workbookViewId="0">
      <pane xSplit="4" ySplit="11" topLeftCell="E57" activePane="bottomRight" state="frozen"/>
      <selection pane="topRight" activeCell="E1" sqref="E1"/>
      <selection pane="bottomLeft" activeCell="A12" sqref="A12"/>
      <selection pane="bottomRight" activeCell="H73" sqref="H73"/>
    </sheetView>
  </sheetViews>
  <sheetFormatPr defaultRowHeight="15.75" x14ac:dyDescent="0.25"/>
  <cols>
    <col min="1" max="1" width="4.5703125" style="211" customWidth="1"/>
    <col min="2" max="2" width="20.140625" style="211" customWidth="1"/>
    <col min="3" max="3" width="29.140625" style="211" customWidth="1"/>
    <col min="4" max="4" width="13.28515625" style="211" customWidth="1"/>
    <col min="5" max="5" width="13.42578125" style="211" customWidth="1"/>
    <col min="6" max="6" width="13.7109375" style="211" customWidth="1"/>
    <col min="7" max="7" width="11.7109375" style="211" customWidth="1"/>
    <col min="8" max="8" width="13.7109375" style="211" customWidth="1"/>
    <col min="9" max="9" width="13.140625" style="211" customWidth="1"/>
    <col min="10" max="10" width="13.28515625" style="211" customWidth="1"/>
    <col min="11" max="11" width="14.7109375" style="211" customWidth="1"/>
    <col min="12" max="12" width="9.140625" style="211"/>
    <col min="13" max="13" width="10.140625" style="211" bestFit="1" customWidth="1"/>
    <col min="14" max="16384" width="9.140625" style="211"/>
  </cols>
  <sheetData>
    <row r="1" spans="1:11" ht="18" customHeight="1" x14ac:dyDescent="0.25">
      <c r="A1" s="171"/>
      <c r="B1" s="171"/>
      <c r="C1" s="171"/>
      <c r="D1" s="171"/>
      <c r="E1" s="464" t="s">
        <v>246</v>
      </c>
      <c r="F1" s="464"/>
      <c r="G1" s="464"/>
      <c r="H1" s="464"/>
      <c r="I1" s="464"/>
      <c r="J1" s="464"/>
      <c r="K1" s="464"/>
    </row>
    <row r="2" spans="1:11" ht="18" customHeight="1" x14ac:dyDescent="0.25">
      <c r="A2" s="171"/>
      <c r="B2" s="171"/>
      <c r="C2" s="171"/>
      <c r="D2" s="171"/>
      <c r="E2" s="464" t="s">
        <v>186</v>
      </c>
      <c r="F2" s="464"/>
      <c r="G2" s="464"/>
      <c r="H2" s="464"/>
      <c r="I2" s="464"/>
      <c r="J2" s="464"/>
      <c r="K2" s="464"/>
    </row>
    <row r="3" spans="1:11" ht="16.5" customHeight="1" x14ac:dyDescent="0.25">
      <c r="A3" s="172"/>
      <c r="B3" s="172"/>
      <c r="C3" s="172"/>
      <c r="D3" s="172"/>
      <c r="E3" s="172"/>
      <c r="F3" s="15"/>
      <c r="G3" s="15"/>
      <c r="H3" s="13"/>
      <c r="I3" s="15"/>
      <c r="J3" s="15"/>
      <c r="K3" s="15"/>
    </row>
    <row r="4" spans="1:11" ht="16.5" customHeight="1" x14ac:dyDescent="0.25">
      <c r="A4" s="455" t="s">
        <v>95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</row>
    <row r="5" spans="1:11" ht="15.95" customHeight="1" x14ac:dyDescent="0.25">
      <c r="A5" s="580" t="s">
        <v>187</v>
      </c>
      <c r="B5" s="580"/>
      <c r="C5" s="580"/>
      <c r="D5" s="580"/>
      <c r="E5" s="580"/>
      <c r="F5" s="580"/>
      <c r="G5" s="580"/>
      <c r="H5" s="580"/>
      <c r="I5" s="580"/>
      <c r="J5" s="580"/>
      <c r="K5" s="580"/>
    </row>
    <row r="6" spans="1:11" s="212" customFormat="1" ht="15.95" customHeight="1" x14ac:dyDescent="0.25">
      <c r="A6" s="455" t="s">
        <v>98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</row>
    <row r="7" spans="1:11" s="212" customFormat="1" ht="15.95" customHeight="1" x14ac:dyDescent="0.25">
      <c r="A7" s="455" t="s">
        <v>238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</row>
    <row r="8" spans="1:11" ht="16.5" thickBot="1" x14ac:dyDescent="0.3">
      <c r="J8" s="618" t="s">
        <v>94</v>
      </c>
      <c r="K8" s="618"/>
    </row>
    <row r="9" spans="1:11" ht="15.95" customHeight="1" x14ac:dyDescent="0.25">
      <c r="A9" s="619" t="s">
        <v>103</v>
      </c>
      <c r="B9" s="626" t="s">
        <v>104</v>
      </c>
      <c r="C9" s="627"/>
      <c r="D9" s="628"/>
      <c r="E9" s="629" t="s">
        <v>188</v>
      </c>
      <c r="F9" s="630"/>
      <c r="G9" s="630"/>
      <c r="H9" s="630"/>
      <c r="I9" s="630"/>
      <c r="J9" s="630"/>
      <c r="K9" s="656"/>
    </row>
    <row r="10" spans="1:11" ht="15.95" customHeight="1" x14ac:dyDescent="0.25">
      <c r="A10" s="620"/>
      <c r="B10" s="657" t="s">
        <v>108</v>
      </c>
      <c r="C10" s="638" t="s">
        <v>109</v>
      </c>
      <c r="D10" s="638" t="s">
        <v>110</v>
      </c>
      <c r="E10" s="638" t="s">
        <v>174</v>
      </c>
      <c r="F10" s="642" t="s">
        <v>175</v>
      </c>
      <c r="G10" s="643"/>
      <c r="H10" s="643"/>
      <c r="I10" s="643"/>
      <c r="J10" s="643"/>
      <c r="K10" s="659"/>
    </row>
    <row r="11" spans="1:11" ht="24.75" customHeight="1" thickBot="1" x14ac:dyDescent="0.3">
      <c r="A11" s="621"/>
      <c r="B11" s="658"/>
      <c r="C11" s="634"/>
      <c r="D11" s="634"/>
      <c r="E11" s="634"/>
      <c r="F11" s="90" t="s">
        <v>189</v>
      </c>
      <c r="G11" s="90" t="s">
        <v>190</v>
      </c>
      <c r="H11" s="90" t="s">
        <v>191</v>
      </c>
      <c r="I11" s="243" t="s">
        <v>192</v>
      </c>
      <c r="J11" s="244" t="s">
        <v>193</v>
      </c>
      <c r="K11" s="245" t="s">
        <v>114</v>
      </c>
    </row>
    <row r="12" spans="1:11" ht="15" customHeight="1" x14ac:dyDescent="0.25">
      <c r="A12" s="647" t="s">
        <v>1</v>
      </c>
      <c r="B12" s="650" t="s">
        <v>118</v>
      </c>
      <c r="C12" s="650" t="s">
        <v>119</v>
      </c>
      <c r="D12" s="653">
        <v>0.95</v>
      </c>
      <c r="E12" s="215" t="s">
        <v>183</v>
      </c>
      <c r="F12" s="216">
        <f>800000+700000</f>
        <v>1500000</v>
      </c>
      <c r="G12" s="216">
        <v>202000</v>
      </c>
      <c r="H12" s="216">
        <f>4822503-700000</f>
        <v>4122503</v>
      </c>
      <c r="I12" s="216">
        <v>6118434</v>
      </c>
      <c r="J12" s="246">
        <v>0</v>
      </c>
      <c r="K12" s="217">
        <f>F12+G12+H12+I12+J12</f>
        <v>11942937</v>
      </c>
    </row>
    <row r="13" spans="1:11" ht="15" customHeight="1" x14ac:dyDescent="0.25">
      <c r="A13" s="648"/>
      <c r="B13" s="651"/>
      <c r="C13" s="651"/>
      <c r="D13" s="654"/>
      <c r="E13" s="218" t="s">
        <v>184</v>
      </c>
      <c r="F13" s="247">
        <v>11472694</v>
      </c>
      <c r="G13" s="247">
        <v>1555652</v>
      </c>
      <c r="H13" s="247">
        <v>150000</v>
      </c>
      <c r="I13" s="247">
        <v>0</v>
      </c>
      <c r="J13" s="248">
        <v>0</v>
      </c>
      <c r="K13" s="229">
        <f>F13+G13+H13+I13+J13</f>
        <v>13178346</v>
      </c>
    </row>
    <row r="14" spans="1:11" ht="15" customHeight="1" thickBot="1" x14ac:dyDescent="0.3">
      <c r="A14" s="649"/>
      <c r="B14" s="652"/>
      <c r="C14" s="652"/>
      <c r="D14" s="655"/>
      <c r="E14" s="219" t="s">
        <v>114</v>
      </c>
      <c r="F14" s="220">
        <f t="shared" ref="F14:J14" si="0">SUM(F12:F13)</f>
        <v>12972694</v>
      </c>
      <c r="G14" s="220">
        <f t="shared" si="0"/>
        <v>1757652</v>
      </c>
      <c r="H14" s="220">
        <f t="shared" si="0"/>
        <v>4272503</v>
      </c>
      <c r="I14" s="220">
        <f t="shared" si="0"/>
        <v>6118434</v>
      </c>
      <c r="J14" s="220">
        <f t="shared" si="0"/>
        <v>0</v>
      </c>
      <c r="K14" s="221">
        <f t="shared" ref="K14" si="1">SUM(K12:K13)</f>
        <v>25121283</v>
      </c>
    </row>
    <row r="15" spans="1:11" ht="15" customHeight="1" x14ac:dyDescent="0.25">
      <c r="A15" s="589" t="s">
        <v>2</v>
      </c>
      <c r="B15" s="613" t="s">
        <v>120</v>
      </c>
      <c r="C15" s="613" t="s">
        <v>121</v>
      </c>
      <c r="D15" s="598">
        <v>0.95</v>
      </c>
      <c r="E15" s="222" t="s">
        <v>183</v>
      </c>
      <c r="F15" s="224">
        <f>800000+500000+1404000</f>
        <v>2704000</v>
      </c>
      <c r="G15" s="224">
        <v>202000</v>
      </c>
      <c r="H15" s="224">
        <f>5177609-500000-1404000</f>
        <v>3273609</v>
      </c>
      <c r="I15" s="216">
        <v>6158298</v>
      </c>
      <c r="J15" s="246">
        <v>0</v>
      </c>
      <c r="K15" s="217">
        <f>F15+G15+H15+I15+J15</f>
        <v>12337907</v>
      </c>
    </row>
    <row r="16" spans="1:11" ht="15" customHeight="1" x14ac:dyDescent="0.25">
      <c r="A16" s="590"/>
      <c r="B16" s="614"/>
      <c r="C16" s="614"/>
      <c r="D16" s="599"/>
      <c r="E16" s="218" t="s">
        <v>184</v>
      </c>
      <c r="F16" s="380">
        <f>12412414+61000</f>
        <v>12473414</v>
      </c>
      <c r="G16" s="380">
        <f>1679616+3000</f>
        <v>1682616</v>
      </c>
      <c r="H16" s="380">
        <f>150000-64000</f>
        <v>86000</v>
      </c>
      <c r="I16" s="247">
        <v>0</v>
      </c>
      <c r="J16" s="248">
        <v>0</v>
      </c>
      <c r="K16" s="229">
        <f>F16+G16+H16+I16+J16</f>
        <v>14242030</v>
      </c>
    </row>
    <row r="17" spans="1:11" ht="15" customHeight="1" thickBot="1" x14ac:dyDescent="0.3">
      <c r="A17" s="591"/>
      <c r="B17" s="615"/>
      <c r="C17" s="615"/>
      <c r="D17" s="600"/>
      <c r="E17" s="219" t="s">
        <v>114</v>
      </c>
      <c r="F17" s="220">
        <f t="shared" ref="F17:J17" si="2">SUM(F15:F16)</f>
        <v>15177414</v>
      </c>
      <c r="G17" s="220">
        <f t="shared" si="2"/>
        <v>1884616</v>
      </c>
      <c r="H17" s="220">
        <f t="shared" si="2"/>
        <v>3359609</v>
      </c>
      <c r="I17" s="220">
        <f t="shared" si="2"/>
        <v>6158298</v>
      </c>
      <c r="J17" s="220">
        <f t="shared" si="2"/>
        <v>0</v>
      </c>
      <c r="K17" s="221">
        <f t="shared" ref="K17" si="3">SUM(K15:K16)</f>
        <v>26579937</v>
      </c>
    </row>
    <row r="18" spans="1:11" ht="15" customHeight="1" x14ac:dyDescent="0.25">
      <c r="A18" s="589" t="s">
        <v>4</v>
      </c>
      <c r="B18" s="613" t="s">
        <v>122</v>
      </c>
      <c r="C18" s="613" t="s">
        <v>123</v>
      </c>
      <c r="D18" s="598">
        <v>0.95</v>
      </c>
      <c r="E18" s="215" t="s">
        <v>183</v>
      </c>
      <c r="F18" s="216">
        <f>800000+500000</f>
        <v>1300000</v>
      </c>
      <c r="G18" s="216">
        <v>202000</v>
      </c>
      <c r="H18" s="216">
        <f>7831877-500000</f>
        <v>7331877</v>
      </c>
      <c r="I18" s="224">
        <v>7162561</v>
      </c>
      <c r="J18" s="249">
        <v>0</v>
      </c>
      <c r="K18" s="223">
        <f>F18+G18+H18+I18+J18</f>
        <v>15996438</v>
      </c>
    </row>
    <row r="19" spans="1:11" ht="15" customHeight="1" x14ac:dyDescent="0.25">
      <c r="A19" s="590"/>
      <c r="B19" s="614"/>
      <c r="C19" s="614"/>
      <c r="D19" s="599"/>
      <c r="E19" s="218" t="s">
        <v>184</v>
      </c>
      <c r="F19" s="250">
        <f>11395211+61000</f>
        <v>11456211</v>
      </c>
      <c r="G19" s="250">
        <v>1544379</v>
      </c>
      <c r="H19" s="250">
        <f>150000-61000</f>
        <v>89000</v>
      </c>
      <c r="I19" s="250">
        <v>0</v>
      </c>
      <c r="J19" s="251">
        <v>0</v>
      </c>
      <c r="K19" s="227">
        <f>F19+G19+H19+I19+J19</f>
        <v>13089590</v>
      </c>
    </row>
    <row r="20" spans="1:11" ht="15" customHeight="1" thickBot="1" x14ac:dyDescent="0.3">
      <c r="A20" s="591"/>
      <c r="B20" s="615"/>
      <c r="C20" s="615"/>
      <c r="D20" s="600"/>
      <c r="E20" s="219" t="s">
        <v>114</v>
      </c>
      <c r="F20" s="220">
        <f t="shared" ref="F20:J20" si="4">SUM(F18:F19)</f>
        <v>12756211</v>
      </c>
      <c r="G20" s="220">
        <f t="shared" si="4"/>
        <v>1746379</v>
      </c>
      <c r="H20" s="220">
        <f t="shared" si="4"/>
        <v>7420877</v>
      </c>
      <c r="I20" s="220">
        <f t="shared" si="4"/>
        <v>7162561</v>
      </c>
      <c r="J20" s="220">
        <f t="shared" si="4"/>
        <v>0</v>
      </c>
      <c r="K20" s="221">
        <f t="shared" ref="K20" si="5">SUM(K18:K19)</f>
        <v>29086028</v>
      </c>
    </row>
    <row r="21" spans="1:11" s="225" customFormat="1" ht="15" customHeight="1" x14ac:dyDescent="0.25">
      <c r="A21" s="589" t="s">
        <v>124</v>
      </c>
      <c r="B21" s="613" t="s">
        <v>125</v>
      </c>
      <c r="C21" s="613" t="s">
        <v>126</v>
      </c>
      <c r="D21" s="598">
        <v>0.95</v>
      </c>
      <c r="E21" s="215" t="s">
        <v>183</v>
      </c>
      <c r="F21" s="224">
        <v>800000</v>
      </c>
      <c r="G21" s="224">
        <v>202000</v>
      </c>
      <c r="H21" s="224">
        <v>7019991</v>
      </c>
      <c r="I21" s="224">
        <v>5060808</v>
      </c>
      <c r="J21" s="249">
        <v>0</v>
      </c>
      <c r="K21" s="217">
        <f>F21+G21+H21+I21+J21</f>
        <v>13082799</v>
      </c>
    </row>
    <row r="22" spans="1:11" ht="15" customHeight="1" x14ac:dyDescent="0.25">
      <c r="A22" s="590"/>
      <c r="B22" s="614"/>
      <c r="C22" s="614"/>
      <c r="D22" s="599"/>
      <c r="E22" s="218" t="s">
        <v>184</v>
      </c>
      <c r="F22" s="250">
        <v>9006107</v>
      </c>
      <c r="G22" s="250">
        <v>1227195</v>
      </c>
      <c r="H22" s="250">
        <v>150000</v>
      </c>
      <c r="I22" s="250">
        <v>0</v>
      </c>
      <c r="J22" s="251">
        <v>0</v>
      </c>
      <c r="K22" s="229">
        <f>F22+G22+H22+I22+J22</f>
        <v>10383302</v>
      </c>
    </row>
    <row r="23" spans="1:11" ht="15" customHeight="1" thickBot="1" x14ac:dyDescent="0.3">
      <c r="A23" s="591"/>
      <c r="B23" s="615"/>
      <c r="C23" s="615"/>
      <c r="D23" s="600"/>
      <c r="E23" s="219" t="s">
        <v>114</v>
      </c>
      <c r="F23" s="220">
        <f t="shared" ref="F23:J23" si="6">SUM(F21:F22)</f>
        <v>9806107</v>
      </c>
      <c r="G23" s="220">
        <f t="shared" si="6"/>
        <v>1429195</v>
      </c>
      <c r="H23" s="220">
        <f t="shared" si="6"/>
        <v>7169991</v>
      </c>
      <c r="I23" s="220">
        <f t="shared" si="6"/>
        <v>5060808</v>
      </c>
      <c r="J23" s="220">
        <f t="shared" si="6"/>
        <v>0</v>
      </c>
      <c r="K23" s="221">
        <f t="shared" ref="K23" si="7">SUM(K21:K22)</f>
        <v>23466101</v>
      </c>
    </row>
    <row r="24" spans="1:11" ht="15" customHeight="1" x14ac:dyDescent="0.25">
      <c r="A24" s="589" t="s">
        <v>127</v>
      </c>
      <c r="B24" s="593" t="s">
        <v>128</v>
      </c>
      <c r="C24" s="614" t="s">
        <v>129</v>
      </c>
      <c r="D24" s="599">
        <v>0.95</v>
      </c>
      <c r="E24" s="226" t="s">
        <v>183</v>
      </c>
      <c r="F24" s="224">
        <v>800000</v>
      </c>
      <c r="G24" s="224">
        <v>202000</v>
      </c>
      <c r="H24" s="216">
        <f>8724113-65000</f>
        <v>8659113</v>
      </c>
      <c r="I24" s="216">
        <v>5408693</v>
      </c>
      <c r="J24" s="246">
        <v>65000</v>
      </c>
      <c r="K24" s="217">
        <f>F24+G24+H24+I24+J24</f>
        <v>15134806</v>
      </c>
    </row>
    <row r="25" spans="1:11" ht="15" customHeight="1" x14ac:dyDescent="0.25">
      <c r="A25" s="590"/>
      <c r="B25" s="593"/>
      <c r="C25" s="614"/>
      <c r="D25" s="599"/>
      <c r="E25" s="218" t="s">
        <v>184</v>
      </c>
      <c r="F25" s="250">
        <v>12531214</v>
      </c>
      <c r="G25" s="250">
        <v>1704060</v>
      </c>
      <c r="H25" s="250">
        <v>150000</v>
      </c>
      <c r="I25" s="250">
        <v>0</v>
      </c>
      <c r="J25" s="251">
        <v>0</v>
      </c>
      <c r="K25" s="229">
        <f>F25+G25+H25+I25+J25</f>
        <v>14385274</v>
      </c>
    </row>
    <row r="26" spans="1:11" ht="15" customHeight="1" thickBot="1" x14ac:dyDescent="0.3">
      <c r="A26" s="591"/>
      <c r="B26" s="594"/>
      <c r="C26" s="615"/>
      <c r="D26" s="600"/>
      <c r="E26" s="219" t="s">
        <v>114</v>
      </c>
      <c r="F26" s="220">
        <f t="shared" ref="F26:J26" si="8">SUM(F24:F25)</f>
        <v>13331214</v>
      </c>
      <c r="G26" s="220">
        <f t="shared" si="8"/>
        <v>1906060</v>
      </c>
      <c r="H26" s="220">
        <f t="shared" si="8"/>
        <v>8809113</v>
      </c>
      <c r="I26" s="220">
        <f t="shared" si="8"/>
        <v>5408693</v>
      </c>
      <c r="J26" s="220">
        <f t="shared" si="8"/>
        <v>65000</v>
      </c>
      <c r="K26" s="221">
        <f t="shared" ref="K26" si="9">SUM(K24:K25)</f>
        <v>29520080</v>
      </c>
    </row>
    <row r="27" spans="1:11" ht="15" customHeight="1" x14ac:dyDescent="0.25">
      <c r="A27" s="589" t="s">
        <v>130</v>
      </c>
      <c r="B27" s="592" t="s">
        <v>131</v>
      </c>
      <c r="C27" s="613" t="s">
        <v>132</v>
      </c>
      <c r="D27" s="599">
        <v>0.95</v>
      </c>
      <c r="E27" s="226" t="s">
        <v>183</v>
      </c>
      <c r="F27" s="224">
        <v>800000</v>
      </c>
      <c r="G27" s="224">
        <v>202000</v>
      </c>
      <c r="H27" s="224">
        <f>6093900-1844000</f>
        <v>4249900</v>
      </c>
      <c r="I27" s="224">
        <v>0</v>
      </c>
      <c r="J27" s="249">
        <v>0</v>
      </c>
      <c r="K27" s="217">
        <f>F27+G27+H27+I27+J27</f>
        <v>5251900</v>
      </c>
    </row>
    <row r="28" spans="1:11" ht="15" customHeight="1" x14ac:dyDescent="0.25">
      <c r="A28" s="590"/>
      <c r="B28" s="593"/>
      <c r="C28" s="614"/>
      <c r="D28" s="599"/>
      <c r="E28" s="218" t="s">
        <v>184</v>
      </c>
      <c r="F28" s="250">
        <f>8100000+1617000</f>
        <v>9717000</v>
      </c>
      <c r="G28" s="250">
        <f>1053000+227000</f>
        <v>1280000</v>
      </c>
      <c r="H28" s="250">
        <v>150000</v>
      </c>
      <c r="I28" s="250">
        <v>0</v>
      </c>
      <c r="J28" s="251">
        <v>0</v>
      </c>
      <c r="K28" s="229">
        <f>F28+G28+H28+I28+J28</f>
        <v>11147000</v>
      </c>
    </row>
    <row r="29" spans="1:11" ht="15" customHeight="1" thickBot="1" x14ac:dyDescent="0.3">
      <c r="A29" s="591"/>
      <c r="B29" s="594"/>
      <c r="C29" s="615"/>
      <c r="D29" s="600"/>
      <c r="E29" s="219" t="s">
        <v>114</v>
      </c>
      <c r="F29" s="220">
        <f t="shared" ref="F29:J29" si="10">SUM(F27:F28)</f>
        <v>10517000</v>
      </c>
      <c r="G29" s="220">
        <f t="shared" si="10"/>
        <v>1482000</v>
      </c>
      <c r="H29" s="220">
        <f t="shared" si="10"/>
        <v>4399900</v>
      </c>
      <c r="I29" s="220">
        <f t="shared" si="10"/>
        <v>0</v>
      </c>
      <c r="J29" s="220">
        <f t="shared" si="10"/>
        <v>0</v>
      </c>
      <c r="K29" s="221">
        <f t="shared" ref="K29" si="11">SUM(K27:K28)</f>
        <v>16398900</v>
      </c>
    </row>
    <row r="30" spans="1:11" s="225" customFormat="1" ht="15" customHeight="1" x14ac:dyDescent="0.25">
      <c r="A30" s="589" t="s">
        <v>133</v>
      </c>
      <c r="B30" s="592" t="s">
        <v>134</v>
      </c>
      <c r="C30" s="613" t="s">
        <v>135</v>
      </c>
      <c r="D30" s="599">
        <v>0.95</v>
      </c>
      <c r="E30" s="226" t="s">
        <v>183</v>
      </c>
      <c r="F30" s="224">
        <v>800000</v>
      </c>
      <c r="G30" s="224">
        <v>202000</v>
      </c>
      <c r="H30" s="224">
        <v>5859033</v>
      </c>
      <c r="I30" s="224">
        <v>4826588</v>
      </c>
      <c r="J30" s="249">
        <v>1121000</v>
      </c>
      <c r="K30" s="227">
        <f>F30+G30+H30+I30+J30</f>
        <v>12808621</v>
      </c>
    </row>
    <row r="31" spans="1:11" ht="15" customHeight="1" x14ac:dyDescent="0.25">
      <c r="A31" s="590"/>
      <c r="B31" s="593"/>
      <c r="C31" s="614"/>
      <c r="D31" s="599"/>
      <c r="E31" s="218" t="s">
        <v>184</v>
      </c>
      <c r="F31" s="250">
        <v>12947000</v>
      </c>
      <c r="G31" s="250">
        <v>1683110</v>
      </c>
      <c r="H31" s="250">
        <v>150000</v>
      </c>
      <c r="I31" s="250">
        <v>0</v>
      </c>
      <c r="J31" s="251">
        <v>0</v>
      </c>
      <c r="K31" s="229">
        <f>F31+G31+H31+I31+J31</f>
        <v>14780110</v>
      </c>
    </row>
    <row r="32" spans="1:11" ht="15" customHeight="1" thickBot="1" x14ac:dyDescent="0.3">
      <c r="A32" s="591"/>
      <c r="B32" s="594"/>
      <c r="C32" s="615"/>
      <c r="D32" s="600"/>
      <c r="E32" s="219" t="s">
        <v>114</v>
      </c>
      <c r="F32" s="220">
        <f t="shared" ref="F32:J32" si="12">SUM(F30:F31)</f>
        <v>13747000</v>
      </c>
      <c r="G32" s="220">
        <f t="shared" si="12"/>
        <v>1885110</v>
      </c>
      <c r="H32" s="220">
        <f t="shared" si="12"/>
        <v>6009033</v>
      </c>
      <c r="I32" s="220">
        <f t="shared" si="12"/>
        <v>4826588</v>
      </c>
      <c r="J32" s="220">
        <f t="shared" si="12"/>
        <v>1121000</v>
      </c>
      <c r="K32" s="221">
        <f t="shared" ref="K32" si="13">SUM(K30:K31)</f>
        <v>27588731</v>
      </c>
    </row>
    <row r="33" spans="1:11" s="225" customFormat="1" ht="15" customHeight="1" x14ac:dyDescent="0.25">
      <c r="A33" s="589" t="s">
        <v>136</v>
      </c>
      <c r="B33" s="593" t="s">
        <v>137</v>
      </c>
      <c r="C33" s="613">
        <v>101118780</v>
      </c>
      <c r="D33" s="599">
        <v>0.754</v>
      </c>
      <c r="E33" s="226" t="s">
        <v>183</v>
      </c>
      <c r="F33" s="224">
        <f>3000000+662000</f>
        <v>3662000</v>
      </c>
      <c r="G33" s="224">
        <v>800000</v>
      </c>
      <c r="H33" s="224">
        <f>3974343-181501</f>
        <v>3792842</v>
      </c>
      <c r="I33" s="224">
        <v>0</v>
      </c>
      <c r="J33" s="249">
        <f>1000000-1000000</f>
        <v>0</v>
      </c>
      <c r="K33" s="227">
        <f>F33+G33+H33+I33+J33</f>
        <v>8254842</v>
      </c>
    </row>
    <row r="34" spans="1:11" ht="15" customHeight="1" x14ac:dyDescent="0.25">
      <c r="A34" s="590"/>
      <c r="B34" s="593"/>
      <c r="C34" s="614"/>
      <c r="D34" s="599"/>
      <c r="E34" s="218" t="s">
        <v>184</v>
      </c>
      <c r="F34" s="250">
        <f>7224157+431501</f>
        <v>7655658</v>
      </c>
      <c r="G34" s="250">
        <f>981140+88000</f>
        <v>1069140</v>
      </c>
      <c r="H34" s="250">
        <v>150000</v>
      </c>
      <c r="I34" s="250">
        <v>0</v>
      </c>
      <c r="J34" s="251">
        <v>0</v>
      </c>
      <c r="K34" s="227">
        <f>F34+G34+H34+I34+J34</f>
        <v>8874798</v>
      </c>
    </row>
    <row r="35" spans="1:11" ht="15" customHeight="1" thickBot="1" x14ac:dyDescent="0.3">
      <c r="A35" s="591"/>
      <c r="B35" s="594"/>
      <c r="C35" s="615"/>
      <c r="D35" s="600"/>
      <c r="E35" s="219" t="s">
        <v>114</v>
      </c>
      <c r="F35" s="220">
        <f t="shared" ref="F35:K35" si="14">SUM(F33:F34)</f>
        <v>11317658</v>
      </c>
      <c r="G35" s="220">
        <f t="shared" si="14"/>
        <v>1869140</v>
      </c>
      <c r="H35" s="220">
        <f t="shared" si="14"/>
        <v>3942842</v>
      </c>
      <c r="I35" s="220">
        <f t="shared" si="14"/>
        <v>0</v>
      </c>
      <c r="J35" s="220">
        <f t="shared" si="14"/>
        <v>0</v>
      </c>
      <c r="K35" s="221">
        <f t="shared" si="14"/>
        <v>17129640</v>
      </c>
    </row>
    <row r="36" spans="1:11" s="225" customFormat="1" ht="15" customHeight="1" x14ac:dyDescent="0.25">
      <c r="A36" s="589" t="s">
        <v>138</v>
      </c>
      <c r="B36" s="592" t="s">
        <v>167</v>
      </c>
      <c r="C36" s="610" t="s">
        <v>168</v>
      </c>
      <c r="D36" s="598">
        <v>1</v>
      </c>
      <c r="E36" s="215" t="s">
        <v>183</v>
      </c>
      <c r="F36" s="216">
        <v>0</v>
      </c>
      <c r="G36" s="216">
        <v>0</v>
      </c>
      <c r="H36" s="216">
        <v>0</v>
      </c>
      <c r="I36" s="216">
        <v>0</v>
      </c>
      <c r="J36" s="246">
        <v>0</v>
      </c>
      <c r="K36" s="223">
        <f>F36+G36+H36+I36+J36</f>
        <v>0</v>
      </c>
    </row>
    <row r="37" spans="1:11" ht="15" customHeight="1" x14ac:dyDescent="0.25">
      <c r="A37" s="590"/>
      <c r="B37" s="593"/>
      <c r="C37" s="611"/>
      <c r="D37" s="599"/>
      <c r="E37" s="218" t="s">
        <v>184</v>
      </c>
      <c r="F37" s="205">
        <v>0</v>
      </c>
      <c r="G37" s="205">
        <v>0</v>
      </c>
      <c r="H37" s="205">
        <v>0</v>
      </c>
      <c r="I37" s="205">
        <v>5619431</v>
      </c>
      <c r="J37" s="248">
        <v>0</v>
      </c>
      <c r="K37" s="227">
        <f>F37+G37+H37+I37+J37</f>
        <v>5619431</v>
      </c>
    </row>
    <row r="38" spans="1:11" ht="15" customHeight="1" thickBot="1" x14ac:dyDescent="0.3">
      <c r="A38" s="591"/>
      <c r="B38" s="594"/>
      <c r="C38" s="612"/>
      <c r="D38" s="600"/>
      <c r="E38" s="219" t="s">
        <v>114</v>
      </c>
      <c r="F38" s="220">
        <f t="shared" ref="F38:J38" si="15">SUM(F36:F37)</f>
        <v>0</v>
      </c>
      <c r="G38" s="220">
        <f t="shared" si="15"/>
        <v>0</v>
      </c>
      <c r="H38" s="220">
        <f t="shared" si="15"/>
        <v>0</v>
      </c>
      <c r="I38" s="220">
        <f t="shared" si="15"/>
        <v>5619431</v>
      </c>
      <c r="J38" s="220">
        <f t="shared" si="15"/>
        <v>0</v>
      </c>
      <c r="K38" s="221">
        <f t="shared" ref="K38" si="16">SUM(K36:K37)</f>
        <v>5619431</v>
      </c>
    </row>
    <row r="39" spans="1:11" ht="15" customHeight="1" x14ac:dyDescent="0.25">
      <c r="A39" s="589" t="s">
        <v>141</v>
      </c>
      <c r="B39" s="592" t="s">
        <v>139</v>
      </c>
      <c r="C39" s="595" t="s">
        <v>140</v>
      </c>
      <c r="D39" s="598">
        <v>1</v>
      </c>
      <c r="E39" s="215" t="s">
        <v>183</v>
      </c>
      <c r="F39" s="216">
        <v>20250</v>
      </c>
      <c r="G39" s="216"/>
      <c r="H39" s="216"/>
      <c r="I39" s="224">
        <f>4803512+2187066</f>
        <v>6990578</v>
      </c>
      <c r="J39" s="246">
        <v>0</v>
      </c>
      <c r="K39" s="217">
        <f>F39+G39+H39+I39+J39</f>
        <v>7010828</v>
      </c>
    </row>
    <row r="40" spans="1:11" ht="15" customHeight="1" x14ac:dyDescent="0.25">
      <c r="A40" s="590"/>
      <c r="B40" s="593"/>
      <c r="C40" s="596"/>
      <c r="D40" s="599"/>
      <c r="E40" s="218" t="s">
        <v>184</v>
      </c>
      <c r="F40" s="205">
        <v>176613</v>
      </c>
      <c r="G40" s="205">
        <v>22960</v>
      </c>
      <c r="H40" s="205">
        <v>0</v>
      </c>
      <c r="I40" s="205">
        <v>0</v>
      </c>
      <c r="J40" s="248">
        <v>0</v>
      </c>
      <c r="K40" s="229">
        <f>F40+G40+H40+I40+J40</f>
        <v>199573</v>
      </c>
    </row>
    <row r="41" spans="1:11" ht="15" customHeight="1" thickBot="1" x14ac:dyDescent="0.3">
      <c r="A41" s="591"/>
      <c r="B41" s="594"/>
      <c r="C41" s="597"/>
      <c r="D41" s="600"/>
      <c r="E41" s="219" t="s">
        <v>114</v>
      </c>
      <c r="F41" s="220">
        <f t="shared" ref="F41:J41" si="17">SUM(F39:F40)</f>
        <v>196863</v>
      </c>
      <c r="G41" s="220">
        <f t="shared" si="17"/>
        <v>22960</v>
      </c>
      <c r="H41" s="220">
        <f t="shared" si="17"/>
        <v>0</v>
      </c>
      <c r="I41" s="220">
        <f t="shared" si="17"/>
        <v>6990578</v>
      </c>
      <c r="J41" s="220">
        <f t="shared" si="17"/>
        <v>0</v>
      </c>
      <c r="K41" s="221">
        <f t="shared" ref="K41" si="18">SUM(K39:K40)</f>
        <v>7210401</v>
      </c>
    </row>
    <row r="42" spans="1:11" ht="15" customHeight="1" x14ac:dyDescent="0.25">
      <c r="A42" s="589" t="s">
        <v>144</v>
      </c>
      <c r="B42" s="609" t="s">
        <v>142</v>
      </c>
      <c r="C42" s="610" t="s">
        <v>143</v>
      </c>
      <c r="D42" s="598">
        <v>1</v>
      </c>
      <c r="E42" s="215" t="s">
        <v>183</v>
      </c>
      <c r="F42" s="216">
        <v>51858</v>
      </c>
      <c r="G42" s="224">
        <v>250976</v>
      </c>
      <c r="H42" s="216">
        <v>0</v>
      </c>
      <c r="I42" s="216">
        <v>20551012</v>
      </c>
      <c r="J42" s="246">
        <v>0</v>
      </c>
      <c r="K42" s="217">
        <f>F42+G42+H42+I42+J42</f>
        <v>20853846</v>
      </c>
    </row>
    <row r="43" spans="1:11" ht="15" customHeight="1" x14ac:dyDescent="0.25">
      <c r="A43" s="590"/>
      <c r="B43" s="604"/>
      <c r="C43" s="611"/>
      <c r="D43" s="599"/>
      <c r="E43" s="218" t="s">
        <v>184</v>
      </c>
      <c r="F43" s="205">
        <v>4785704</v>
      </c>
      <c r="G43" s="250">
        <v>634216</v>
      </c>
      <c r="H43" s="205">
        <v>0</v>
      </c>
      <c r="I43" s="205">
        <v>0</v>
      </c>
      <c r="J43" s="248">
        <v>0</v>
      </c>
      <c r="K43" s="229">
        <f>F43+G43+H43+I43+J43</f>
        <v>5419920</v>
      </c>
    </row>
    <row r="44" spans="1:11" ht="15" customHeight="1" thickBot="1" x14ac:dyDescent="0.3">
      <c r="A44" s="591"/>
      <c r="B44" s="605"/>
      <c r="C44" s="612"/>
      <c r="D44" s="600"/>
      <c r="E44" s="219" t="s">
        <v>114</v>
      </c>
      <c r="F44" s="220">
        <f t="shared" ref="F44:J44" si="19">SUM(F42:F43)</f>
        <v>4837562</v>
      </c>
      <c r="G44" s="220">
        <f t="shared" si="19"/>
        <v>885192</v>
      </c>
      <c r="H44" s="220">
        <f t="shared" si="19"/>
        <v>0</v>
      </c>
      <c r="I44" s="220">
        <f t="shared" si="19"/>
        <v>20551012</v>
      </c>
      <c r="J44" s="220">
        <f t="shared" si="19"/>
        <v>0</v>
      </c>
      <c r="K44" s="221">
        <f t="shared" ref="K44" si="20">SUM(K42:K43)</f>
        <v>26273766</v>
      </c>
    </row>
    <row r="45" spans="1:11" ht="15" customHeight="1" x14ac:dyDescent="0.25">
      <c r="A45" s="589" t="s">
        <v>147</v>
      </c>
      <c r="B45" s="609" t="s">
        <v>145</v>
      </c>
      <c r="C45" s="610" t="s">
        <v>146</v>
      </c>
      <c r="D45" s="598">
        <v>1</v>
      </c>
      <c r="E45" s="215" t="s">
        <v>183</v>
      </c>
      <c r="F45" s="224">
        <f>2090229-1606515</f>
        <v>483714</v>
      </c>
      <c r="G45" s="224">
        <f>603666-603666</f>
        <v>0</v>
      </c>
      <c r="H45" s="224">
        <f>309463</f>
        <v>309463</v>
      </c>
      <c r="I45" s="224">
        <v>0</v>
      </c>
      <c r="J45" s="249">
        <f>5880100+6402251</f>
        <v>12282351</v>
      </c>
      <c r="K45" s="217">
        <f>F45+G45+H45+I45+J45</f>
        <v>13075528</v>
      </c>
    </row>
    <row r="46" spans="1:11" ht="15" customHeight="1" x14ac:dyDescent="0.25">
      <c r="A46" s="590"/>
      <c r="B46" s="604"/>
      <c r="C46" s="611"/>
      <c r="D46" s="599"/>
      <c r="E46" s="218" t="s">
        <v>184</v>
      </c>
      <c r="F46" s="250">
        <f>2399120+1955910</f>
        <v>4355030</v>
      </c>
      <c r="G46" s="250">
        <f>311886+254271</f>
        <v>566157</v>
      </c>
      <c r="H46" s="250">
        <v>0</v>
      </c>
      <c r="I46" s="250">
        <v>0</v>
      </c>
      <c r="J46" s="251">
        <v>0</v>
      </c>
      <c r="K46" s="229">
        <f>F46+G46+H46+I46+J46</f>
        <v>4921187</v>
      </c>
    </row>
    <row r="47" spans="1:11" ht="15" customHeight="1" thickBot="1" x14ac:dyDescent="0.3">
      <c r="A47" s="591"/>
      <c r="B47" s="605"/>
      <c r="C47" s="612"/>
      <c r="D47" s="600"/>
      <c r="E47" s="219" t="s">
        <v>114</v>
      </c>
      <c r="F47" s="220">
        <f t="shared" ref="F47:K47" si="21">SUM(F45:F46)</f>
        <v>4838744</v>
      </c>
      <c r="G47" s="220">
        <f t="shared" si="21"/>
        <v>566157</v>
      </c>
      <c r="H47" s="220">
        <f t="shared" si="21"/>
        <v>309463</v>
      </c>
      <c r="I47" s="220">
        <f t="shared" si="21"/>
        <v>0</v>
      </c>
      <c r="J47" s="220">
        <f t="shared" si="21"/>
        <v>12282351</v>
      </c>
      <c r="K47" s="221">
        <f t="shared" si="21"/>
        <v>17996715</v>
      </c>
    </row>
    <row r="48" spans="1:11" ht="15" customHeight="1" x14ac:dyDescent="0.25">
      <c r="A48" s="589" t="s">
        <v>150</v>
      </c>
      <c r="B48" s="592" t="s">
        <v>148</v>
      </c>
      <c r="C48" s="606" t="s">
        <v>149</v>
      </c>
      <c r="D48" s="598">
        <v>1</v>
      </c>
      <c r="E48" s="215" t="s">
        <v>183</v>
      </c>
      <c r="F48" s="216">
        <v>0</v>
      </c>
      <c r="G48" s="224">
        <v>513083</v>
      </c>
      <c r="H48" s="216">
        <v>0</v>
      </c>
      <c r="I48" s="216">
        <v>0</v>
      </c>
      <c r="J48" s="246">
        <v>0</v>
      </c>
      <c r="K48" s="217">
        <f>F48+G48+H48+I48+J48</f>
        <v>513083</v>
      </c>
    </row>
    <row r="49" spans="1:11" ht="15" customHeight="1" x14ac:dyDescent="0.25">
      <c r="A49" s="590"/>
      <c r="B49" s="593"/>
      <c r="C49" s="607"/>
      <c r="D49" s="599"/>
      <c r="E49" s="218" t="s">
        <v>184</v>
      </c>
      <c r="F49" s="205">
        <v>1374502</v>
      </c>
      <c r="G49" s="250">
        <v>178686</v>
      </c>
      <c r="H49" s="205">
        <v>0</v>
      </c>
      <c r="I49" s="205">
        <v>0</v>
      </c>
      <c r="J49" s="248">
        <v>0</v>
      </c>
      <c r="K49" s="229">
        <f>F49+G49+H49+I49+J49</f>
        <v>1553188</v>
      </c>
    </row>
    <row r="50" spans="1:11" ht="15" customHeight="1" thickBot="1" x14ac:dyDescent="0.3">
      <c r="A50" s="591"/>
      <c r="B50" s="594"/>
      <c r="C50" s="608"/>
      <c r="D50" s="600"/>
      <c r="E50" s="219" t="s">
        <v>114</v>
      </c>
      <c r="F50" s="220">
        <f t="shared" ref="F50:K50" si="22">SUM(F48:F49)</f>
        <v>1374502</v>
      </c>
      <c r="G50" s="220">
        <f t="shared" si="22"/>
        <v>691769</v>
      </c>
      <c r="H50" s="220">
        <f t="shared" si="22"/>
        <v>0</v>
      </c>
      <c r="I50" s="220">
        <f t="shared" si="22"/>
        <v>0</v>
      </c>
      <c r="J50" s="220">
        <f t="shared" si="22"/>
        <v>0</v>
      </c>
      <c r="K50" s="221">
        <f t="shared" si="22"/>
        <v>2066271</v>
      </c>
    </row>
    <row r="51" spans="1:11" ht="15" customHeight="1" x14ac:dyDescent="0.25">
      <c r="A51" s="589" t="s">
        <v>153</v>
      </c>
      <c r="B51" s="592" t="s">
        <v>151</v>
      </c>
      <c r="C51" s="606" t="s">
        <v>152</v>
      </c>
      <c r="D51" s="598">
        <v>1</v>
      </c>
      <c r="E51" s="215" t="s">
        <v>183</v>
      </c>
      <c r="F51" s="216">
        <v>760000</v>
      </c>
      <c r="G51" s="216">
        <v>98800</v>
      </c>
      <c r="H51" s="216">
        <v>329977503</v>
      </c>
      <c r="I51" s="216">
        <v>280534559</v>
      </c>
      <c r="J51" s="246">
        <v>27483222</v>
      </c>
      <c r="K51" s="217">
        <f>F51+G51+H51+I51+J51</f>
        <v>638854084</v>
      </c>
    </row>
    <row r="52" spans="1:11" ht="15" customHeight="1" x14ac:dyDescent="0.25">
      <c r="A52" s="590"/>
      <c r="B52" s="593"/>
      <c r="C52" s="607"/>
      <c r="D52" s="599"/>
      <c r="E52" s="218" t="s">
        <v>184</v>
      </c>
      <c r="F52" s="205">
        <v>37386500</v>
      </c>
      <c r="G52" s="205">
        <v>5160245</v>
      </c>
      <c r="H52" s="205">
        <v>3500000</v>
      </c>
      <c r="I52" s="205">
        <v>0</v>
      </c>
      <c r="J52" s="248">
        <v>0</v>
      </c>
      <c r="K52" s="229">
        <f>F52+G52+H52+I52+J52</f>
        <v>46046745</v>
      </c>
    </row>
    <row r="53" spans="1:11" ht="15" customHeight="1" thickBot="1" x14ac:dyDescent="0.3">
      <c r="A53" s="591"/>
      <c r="B53" s="594"/>
      <c r="C53" s="608"/>
      <c r="D53" s="600"/>
      <c r="E53" s="219" t="s">
        <v>114</v>
      </c>
      <c r="F53" s="220">
        <f t="shared" ref="F53:K53" si="23">SUM(F51:F52)</f>
        <v>38146500</v>
      </c>
      <c r="G53" s="220">
        <f t="shared" si="23"/>
        <v>5259045</v>
      </c>
      <c r="H53" s="220">
        <f t="shared" si="23"/>
        <v>333477503</v>
      </c>
      <c r="I53" s="220">
        <f t="shared" si="23"/>
        <v>280534559</v>
      </c>
      <c r="J53" s="220">
        <f t="shared" si="23"/>
        <v>27483222</v>
      </c>
      <c r="K53" s="221">
        <f t="shared" si="23"/>
        <v>684900829</v>
      </c>
    </row>
    <row r="54" spans="1:11" ht="15" customHeight="1" x14ac:dyDescent="0.25">
      <c r="A54" s="589" t="s">
        <v>156</v>
      </c>
      <c r="B54" s="604" t="s">
        <v>154</v>
      </c>
      <c r="C54" s="596" t="s">
        <v>155</v>
      </c>
      <c r="D54" s="599">
        <v>1</v>
      </c>
      <c r="E54" s="228" t="s">
        <v>183</v>
      </c>
      <c r="F54" s="216">
        <v>0</v>
      </c>
      <c r="G54" s="216">
        <v>0</v>
      </c>
      <c r="H54" s="216">
        <v>0</v>
      </c>
      <c r="I54" s="224">
        <v>191995</v>
      </c>
      <c r="J54" s="246">
        <v>0</v>
      </c>
      <c r="K54" s="217">
        <f>F54+G54+H54+I54+J54</f>
        <v>191995</v>
      </c>
    </row>
    <row r="55" spans="1:11" ht="15" customHeight="1" x14ac:dyDescent="0.25">
      <c r="A55" s="590"/>
      <c r="B55" s="604"/>
      <c r="C55" s="596"/>
      <c r="D55" s="599"/>
      <c r="E55" s="218" t="s">
        <v>184</v>
      </c>
      <c r="F55" s="205">
        <v>0</v>
      </c>
      <c r="G55" s="205">
        <v>0</v>
      </c>
      <c r="H55" s="205">
        <v>0</v>
      </c>
      <c r="I55" s="205">
        <v>0</v>
      </c>
      <c r="J55" s="248">
        <v>0</v>
      </c>
      <c r="K55" s="229">
        <f>F55+G55+H55+I55+J55</f>
        <v>0</v>
      </c>
    </row>
    <row r="56" spans="1:11" ht="15" customHeight="1" thickBot="1" x14ac:dyDescent="0.3">
      <c r="A56" s="591"/>
      <c r="B56" s="605"/>
      <c r="C56" s="597"/>
      <c r="D56" s="600"/>
      <c r="E56" s="219" t="s">
        <v>114</v>
      </c>
      <c r="F56" s="220">
        <f t="shared" ref="F56:K56" si="24">SUM(F54:F55)</f>
        <v>0</v>
      </c>
      <c r="G56" s="220">
        <f t="shared" si="24"/>
        <v>0</v>
      </c>
      <c r="H56" s="220">
        <f t="shared" si="24"/>
        <v>0</v>
      </c>
      <c r="I56" s="220">
        <f t="shared" si="24"/>
        <v>191995</v>
      </c>
      <c r="J56" s="220">
        <f t="shared" si="24"/>
        <v>0</v>
      </c>
      <c r="K56" s="221">
        <f t="shared" si="24"/>
        <v>191995</v>
      </c>
    </row>
    <row r="57" spans="1:11" ht="15" customHeight="1" x14ac:dyDescent="0.25">
      <c r="A57" s="589" t="s">
        <v>159</v>
      </c>
      <c r="B57" s="593" t="s">
        <v>157</v>
      </c>
      <c r="C57" s="596" t="s">
        <v>158</v>
      </c>
      <c r="D57" s="599">
        <v>1</v>
      </c>
      <c r="E57" s="215" t="s">
        <v>183</v>
      </c>
      <c r="F57" s="216">
        <v>0</v>
      </c>
      <c r="G57" s="216">
        <v>0</v>
      </c>
      <c r="H57" s="216">
        <v>0</v>
      </c>
      <c r="I57" s="216">
        <v>283673</v>
      </c>
      <c r="J57" s="246">
        <v>0</v>
      </c>
      <c r="K57" s="229">
        <f>F57+G57+H57+I57+J57</f>
        <v>283673</v>
      </c>
    </row>
    <row r="58" spans="1:11" ht="15" customHeight="1" x14ac:dyDescent="0.25">
      <c r="A58" s="590"/>
      <c r="B58" s="593"/>
      <c r="C58" s="596"/>
      <c r="D58" s="599"/>
      <c r="E58" s="218" t="s">
        <v>184</v>
      </c>
      <c r="F58" s="205">
        <v>0</v>
      </c>
      <c r="G58" s="205">
        <v>0</v>
      </c>
      <c r="H58" s="205">
        <v>0</v>
      </c>
      <c r="I58" s="205">
        <v>0</v>
      </c>
      <c r="J58" s="248">
        <v>0</v>
      </c>
      <c r="K58" s="229">
        <f>F58+G58+H58+I58+J58</f>
        <v>0</v>
      </c>
    </row>
    <row r="59" spans="1:11" ht="15" customHeight="1" thickBot="1" x14ac:dyDescent="0.3">
      <c r="A59" s="591"/>
      <c r="B59" s="593"/>
      <c r="C59" s="596"/>
      <c r="D59" s="599"/>
      <c r="E59" s="231" t="s">
        <v>114</v>
      </c>
      <c r="F59" s="220">
        <f t="shared" ref="F59:K59" si="25">SUM(F57:F58)</f>
        <v>0</v>
      </c>
      <c r="G59" s="220">
        <f t="shared" si="25"/>
        <v>0</v>
      </c>
      <c r="H59" s="220">
        <f t="shared" si="25"/>
        <v>0</v>
      </c>
      <c r="I59" s="220">
        <f t="shared" si="25"/>
        <v>283673</v>
      </c>
      <c r="J59" s="220">
        <f t="shared" si="25"/>
        <v>0</v>
      </c>
      <c r="K59" s="221">
        <f t="shared" si="25"/>
        <v>283673</v>
      </c>
    </row>
    <row r="60" spans="1:11" ht="15" customHeight="1" x14ac:dyDescent="0.25">
      <c r="A60" s="589" t="s">
        <v>162</v>
      </c>
      <c r="B60" s="592" t="s">
        <v>160</v>
      </c>
      <c r="C60" s="595" t="s">
        <v>161</v>
      </c>
      <c r="D60" s="598">
        <v>1</v>
      </c>
      <c r="E60" s="215" t="s">
        <v>183</v>
      </c>
      <c r="F60" s="216">
        <v>0</v>
      </c>
      <c r="G60" s="216">
        <v>0</v>
      </c>
      <c r="H60" s="216">
        <v>0</v>
      </c>
      <c r="I60" s="216">
        <v>42397</v>
      </c>
      <c r="J60" s="246">
        <v>0</v>
      </c>
      <c r="K60" s="217">
        <f>F60+G60+H60+I60+J60</f>
        <v>42397</v>
      </c>
    </row>
    <row r="61" spans="1:11" ht="15" customHeight="1" x14ac:dyDescent="0.25">
      <c r="A61" s="590"/>
      <c r="B61" s="593"/>
      <c r="C61" s="596"/>
      <c r="D61" s="599"/>
      <c r="E61" s="218" t="s">
        <v>184</v>
      </c>
      <c r="F61" s="205">
        <v>0</v>
      </c>
      <c r="G61" s="205">
        <v>0</v>
      </c>
      <c r="H61" s="205">
        <v>0</v>
      </c>
      <c r="I61" s="205">
        <v>0</v>
      </c>
      <c r="J61" s="248">
        <v>0</v>
      </c>
      <c r="K61" s="229">
        <f>F61+G61+H61+I61+J61</f>
        <v>0</v>
      </c>
    </row>
    <row r="62" spans="1:11" ht="15" customHeight="1" thickBot="1" x14ac:dyDescent="0.3">
      <c r="A62" s="591"/>
      <c r="B62" s="594"/>
      <c r="C62" s="597"/>
      <c r="D62" s="600"/>
      <c r="E62" s="219" t="s">
        <v>114</v>
      </c>
      <c r="F62" s="220">
        <f t="shared" ref="F62:K62" si="26">SUM(F60:F61)</f>
        <v>0</v>
      </c>
      <c r="G62" s="220">
        <f t="shared" si="26"/>
        <v>0</v>
      </c>
      <c r="H62" s="220">
        <f t="shared" si="26"/>
        <v>0</v>
      </c>
      <c r="I62" s="220">
        <f t="shared" si="26"/>
        <v>42397</v>
      </c>
      <c r="J62" s="220">
        <f t="shared" si="26"/>
        <v>0</v>
      </c>
      <c r="K62" s="221">
        <f t="shared" si="26"/>
        <v>42397</v>
      </c>
    </row>
    <row r="63" spans="1:11" ht="15" customHeight="1" x14ac:dyDescent="0.25">
      <c r="A63" s="589" t="s">
        <v>185</v>
      </c>
      <c r="B63" s="592" t="s">
        <v>163</v>
      </c>
      <c r="C63" s="601" t="s">
        <v>164</v>
      </c>
      <c r="D63" s="598">
        <v>1</v>
      </c>
      <c r="E63" s="215" t="s">
        <v>183</v>
      </c>
      <c r="F63" s="216">
        <v>120000000</v>
      </c>
      <c r="G63" s="216">
        <v>9600000</v>
      </c>
      <c r="H63" s="216">
        <v>300000000</v>
      </c>
      <c r="I63" s="216">
        <v>568286396</v>
      </c>
      <c r="J63" s="246">
        <v>52113449</v>
      </c>
      <c r="K63" s="217">
        <f>F63+G63+H63+I63+J63</f>
        <v>1049999845</v>
      </c>
    </row>
    <row r="64" spans="1:11" ht="15" customHeight="1" x14ac:dyDescent="0.25">
      <c r="A64" s="590"/>
      <c r="B64" s="593"/>
      <c r="C64" s="602"/>
      <c r="D64" s="599"/>
      <c r="E64" s="218" t="s">
        <v>184</v>
      </c>
      <c r="F64" s="205">
        <v>55194262</v>
      </c>
      <c r="G64" s="205">
        <v>7690893</v>
      </c>
      <c r="H64" s="205">
        <v>4000000</v>
      </c>
      <c r="I64" s="205">
        <v>0</v>
      </c>
      <c r="J64" s="248">
        <v>0</v>
      </c>
      <c r="K64" s="229">
        <f>F64+G64+H64+I64+J64</f>
        <v>66885155</v>
      </c>
    </row>
    <row r="65" spans="1:11" ht="15" customHeight="1" thickBot="1" x14ac:dyDescent="0.3">
      <c r="A65" s="591"/>
      <c r="B65" s="594"/>
      <c r="C65" s="603"/>
      <c r="D65" s="600"/>
      <c r="E65" s="219" t="s">
        <v>114</v>
      </c>
      <c r="F65" s="220">
        <f t="shared" ref="F65:K65" si="27">SUM(F63:F64)</f>
        <v>175194262</v>
      </c>
      <c r="G65" s="220">
        <f t="shared" si="27"/>
        <v>17290893</v>
      </c>
      <c r="H65" s="220">
        <f t="shared" si="27"/>
        <v>304000000</v>
      </c>
      <c r="I65" s="220">
        <f t="shared" si="27"/>
        <v>568286396</v>
      </c>
      <c r="J65" s="220">
        <f t="shared" si="27"/>
        <v>52113449</v>
      </c>
      <c r="K65" s="221">
        <f t="shared" si="27"/>
        <v>1116885000</v>
      </c>
    </row>
    <row r="66" spans="1:11" ht="15" customHeight="1" x14ac:dyDescent="0.25">
      <c r="A66" s="581" t="s">
        <v>170</v>
      </c>
      <c r="B66" s="582"/>
      <c r="C66" s="582"/>
      <c r="D66" s="583"/>
      <c r="E66" s="234" t="s">
        <v>183</v>
      </c>
      <c r="F66" s="235">
        <f>F12+F15+F18+F21+F24+F27+F30+F33+F36+F39+F42+F45+F48+F51+F54+F57+F60+F63</f>
        <v>133681822</v>
      </c>
      <c r="G66" s="235">
        <f t="shared" ref="G66:K67" si="28">G12+G15+G18+G21+G24+G27+G30+G33+G36+G39+G42+G45+G48+G51+G54+G57+G60+G63</f>
        <v>12676859</v>
      </c>
      <c r="H66" s="235">
        <f t="shared" si="28"/>
        <v>674595834</v>
      </c>
      <c r="I66" s="235">
        <f t="shared" si="28"/>
        <v>911615992</v>
      </c>
      <c r="J66" s="235">
        <f t="shared" si="28"/>
        <v>93065022</v>
      </c>
      <c r="K66" s="236">
        <f t="shared" si="28"/>
        <v>1825635529</v>
      </c>
    </row>
    <row r="67" spans="1:11" ht="15" customHeight="1" x14ac:dyDescent="0.25">
      <c r="A67" s="584"/>
      <c r="B67" s="585"/>
      <c r="C67" s="585"/>
      <c r="D67" s="586"/>
      <c r="E67" s="252" t="s">
        <v>184</v>
      </c>
      <c r="F67" s="238">
        <f>F13+F16+F19+F22+F25+F28+F31+F34+F37+F40+F43+F46+F49+F52+F55+F58+F61+F64</f>
        <v>190531909</v>
      </c>
      <c r="G67" s="238">
        <f t="shared" si="28"/>
        <v>25999309</v>
      </c>
      <c r="H67" s="238">
        <f t="shared" si="28"/>
        <v>8575000</v>
      </c>
      <c r="I67" s="238">
        <f t="shared" si="28"/>
        <v>5619431</v>
      </c>
      <c r="J67" s="238">
        <f t="shared" si="28"/>
        <v>0</v>
      </c>
      <c r="K67" s="239">
        <f t="shared" si="28"/>
        <v>230725649</v>
      </c>
    </row>
    <row r="68" spans="1:11" ht="15" customHeight="1" thickBot="1" x14ac:dyDescent="0.3">
      <c r="A68" s="555"/>
      <c r="B68" s="556"/>
      <c r="C68" s="556"/>
      <c r="D68" s="587"/>
      <c r="E68" s="253" t="s">
        <v>114</v>
      </c>
      <c r="F68" s="241">
        <f>SUM(F66:F67)</f>
        <v>324213731</v>
      </c>
      <c r="G68" s="241">
        <f>SUM(G66:G67)</f>
        <v>38676168</v>
      </c>
      <c r="H68" s="241">
        <f>SUM(H66:H67)</f>
        <v>683170834</v>
      </c>
      <c r="I68" s="241">
        <f>SUM(I66:I67)</f>
        <v>917235423</v>
      </c>
      <c r="J68" s="241">
        <f t="shared" ref="J68:K68" si="29">SUM(J66:J67)</f>
        <v>93065022</v>
      </c>
      <c r="K68" s="242">
        <f t="shared" si="29"/>
        <v>2056361178</v>
      </c>
    </row>
    <row r="70" spans="1:11" ht="35.25" x14ac:dyDescent="0.5">
      <c r="A70" s="254"/>
    </row>
  </sheetData>
  <mergeCells count="88">
    <mergeCell ref="A7:K7"/>
    <mergeCell ref="E1:K1"/>
    <mergeCell ref="E2:K2"/>
    <mergeCell ref="A4:K4"/>
    <mergeCell ref="A5:K5"/>
    <mergeCell ref="A6:K6"/>
    <mergeCell ref="J8:K8"/>
    <mergeCell ref="A9:A11"/>
    <mergeCell ref="B9:D9"/>
    <mergeCell ref="E9:K9"/>
    <mergeCell ref="B10:B11"/>
    <mergeCell ref="C10:C11"/>
    <mergeCell ref="D10:D11"/>
    <mergeCell ref="E10:E11"/>
    <mergeCell ref="F10:K10"/>
    <mergeCell ref="A12:A14"/>
    <mergeCell ref="B12:B14"/>
    <mergeCell ref="C12:C14"/>
    <mergeCell ref="D12:D14"/>
    <mergeCell ref="A15:A17"/>
    <mergeCell ref="B15:B17"/>
    <mergeCell ref="C15:C17"/>
    <mergeCell ref="D15:D17"/>
    <mergeCell ref="A18:A20"/>
    <mergeCell ref="B18:B20"/>
    <mergeCell ref="C18:C20"/>
    <mergeCell ref="D18:D20"/>
    <mergeCell ref="A21:A23"/>
    <mergeCell ref="B21:B23"/>
    <mergeCell ref="C21:C23"/>
    <mergeCell ref="D21:D23"/>
    <mergeCell ref="A24:A26"/>
    <mergeCell ref="B24:B26"/>
    <mergeCell ref="C24:C26"/>
    <mergeCell ref="D24:D26"/>
    <mergeCell ref="A27:A29"/>
    <mergeCell ref="B27:B29"/>
    <mergeCell ref="C27:C29"/>
    <mergeCell ref="D27:D29"/>
    <mergeCell ref="A30:A32"/>
    <mergeCell ref="B30:B32"/>
    <mergeCell ref="C30:C32"/>
    <mergeCell ref="D30:D32"/>
    <mergeCell ref="A33:A35"/>
    <mergeCell ref="B33:B35"/>
    <mergeCell ref="C33:C35"/>
    <mergeCell ref="D33:D35"/>
    <mergeCell ref="A36:A38"/>
    <mergeCell ref="B36:B38"/>
    <mergeCell ref="C36:C38"/>
    <mergeCell ref="D36:D38"/>
    <mergeCell ref="A39:A41"/>
    <mergeCell ref="B39:B41"/>
    <mergeCell ref="C39:C41"/>
    <mergeCell ref="D39:D41"/>
    <mergeCell ref="A42:A44"/>
    <mergeCell ref="B42:B44"/>
    <mergeCell ref="C42:C44"/>
    <mergeCell ref="D42:D44"/>
    <mergeCell ref="A45:A47"/>
    <mergeCell ref="B45:B47"/>
    <mergeCell ref="C45:C47"/>
    <mergeCell ref="D45:D47"/>
    <mergeCell ref="A48:A50"/>
    <mergeCell ref="B48:B50"/>
    <mergeCell ref="C48:C50"/>
    <mergeCell ref="D48:D50"/>
    <mergeCell ref="A51:A53"/>
    <mergeCell ref="B51:B53"/>
    <mergeCell ref="C51:C53"/>
    <mergeCell ref="D51:D53"/>
    <mergeCell ref="A54:A56"/>
    <mergeCell ref="B54:B56"/>
    <mergeCell ref="C54:C56"/>
    <mergeCell ref="D54:D56"/>
    <mergeCell ref="A57:A59"/>
    <mergeCell ref="B57:B59"/>
    <mergeCell ref="C57:C59"/>
    <mergeCell ref="D57:D59"/>
    <mergeCell ref="A66:D68"/>
    <mergeCell ref="A60:A62"/>
    <mergeCell ref="B60:B62"/>
    <mergeCell ref="C60:C62"/>
    <mergeCell ref="D60:D62"/>
    <mergeCell ref="A63:A65"/>
    <mergeCell ref="B63:B65"/>
    <mergeCell ref="C63:C65"/>
    <mergeCell ref="D63:D6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7A661-693D-4A98-A52B-F1CC325B6B74}">
  <sheetPr>
    <tabColor theme="8" tint="0.59999389629810485"/>
  </sheetPr>
  <dimension ref="A1:G34"/>
  <sheetViews>
    <sheetView workbookViewId="0">
      <pane ySplit="10" topLeftCell="A23" activePane="bottomLeft" state="frozen"/>
      <selection pane="bottomLeft" activeCell="H15" sqref="H15"/>
    </sheetView>
  </sheetViews>
  <sheetFormatPr defaultColWidth="9.140625" defaultRowHeight="15.75" x14ac:dyDescent="0.25"/>
  <cols>
    <col min="1" max="1" width="5.42578125" style="171" customWidth="1"/>
    <col min="2" max="2" width="94.85546875" style="261" customWidth="1"/>
    <col min="3" max="4" width="12.7109375" style="193" customWidth="1"/>
    <col min="5" max="6" width="12.7109375" style="3" customWidth="1"/>
    <col min="7" max="16384" width="9.140625" style="3"/>
  </cols>
  <sheetData>
    <row r="1" spans="1:7" ht="14.25" x14ac:dyDescent="0.2">
      <c r="A1" s="464" t="s">
        <v>242</v>
      </c>
      <c r="B1" s="464"/>
      <c r="C1" s="464"/>
      <c r="D1" s="464"/>
      <c r="E1" s="464"/>
      <c r="F1" s="464"/>
      <c r="G1" s="13"/>
    </row>
    <row r="2" spans="1:7" ht="14.25" x14ac:dyDescent="0.2">
      <c r="A2" s="464" t="s">
        <v>199</v>
      </c>
      <c r="B2" s="464"/>
      <c r="C2" s="464"/>
      <c r="D2" s="464"/>
      <c r="E2" s="464"/>
      <c r="F2" s="464"/>
      <c r="G2" s="13"/>
    </row>
    <row r="3" spans="1:7" x14ac:dyDescent="0.25">
      <c r="A3" s="255"/>
      <c r="B3" s="256"/>
      <c r="C3" s="262"/>
      <c r="D3" s="262"/>
    </row>
    <row r="4" spans="1:7" x14ac:dyDescent="0.25">
      <c r="A4" s="455" t="s">
        <v>95</v>
      </c>
      <c r="B4" s="455"/>
      <c r="C4" s="455"/>
      <c r="D4" s="455"/>
      <c r="E4" s="455"/>
      <c r="F4" s="455"/>
    </row>
    <row r="5" spans="1:7" x14ac:dyDescent="0.25">
      <c r="A5" s="455" t="s">
        <v>200</v>
      </c>
      <c r="B5" s="455"/>
      <c r="C5" s="455"/>
      <c r="D5" s="455"/>
      <c r="E5" s="455"/>
      <c r="F5" s="455"/>
    </row>
    <row r="6" spans="1:7" x14ac:dyDescent="0.25">
      <c r="A6" s="455" t="s">
        <v>98</v>
      </c>
      <c r="B6" s="455"/>
      <c r="C6" s="455"/>
      <c r="D6" s="455"/>
      <c r="E6" s="455"/>
      <c r="F6" s="455"/>
    </row>
    <row r="7" spans="1:7" x14ac:dyDescent="0.25">
      <c r="A7" s="455" t="s">
        <v>238</v>
      </c>
      <c r="B7" s="455"/>
      <c r="C7" s="455"/>
      <c r="D7" s="455"/>
      <c r="E7" s="455"/>
      <c r="F7" s="455"/>
    </row>
    <row r="8" spans="1:7" ht="16.5" thickBot="1" x14ac:dyDescent="0.3">
      <c r="B8" s="257"/>
      <c r="F8" s="7" t="s">
        <v>94</v>
      </c>
    </row>
    <row r="9" spans="1:7" ht="15" customHeight="1" x14ac:dyDescent="0.2">
      <c r="A9" s="681" t="s">
        <v>103</v>
      </c>
      <c r="B9" s="683" t="s">
        <v>194</v>
      </c>
      <c r="C9" s="685" t="s">
        <v>28</v>
      </c>
      <c r="D9" s="687" t="s">
        <v>195</v>
      </c>
      <c r="E9" s="689" t="s">
        <v>87</v>
      </c>
      <c r="F9" s="679" t="s">
        <v>195</v>
      </c>
    </row>
    <row r="10" spans="1:7" ht="13.5" thickBot="1" x14ac:dyDescent="0.25">
      <c r="A10" s="682"/>
      <c r="B10" s="684"/>
      <c r="C10" s="686" t="s">
        <v>195</v>
      </c>
      <c r="D10" s="688" t="s">
        <v>195</v>
      </c>
      <c r="E10" s="690"/>
      <c r="F10" s="680" t="s">
        <v>195</v>
      </c>
    </row>
    <row r="11" spans="1:7" s="1" customFormat="1" x14ac:dyDescent="0.2">
      <c r="A11" s="668" t="s">
        <v>201</v>
      </c>
      <c r="B11" s="669"/>
      <c r="C11" s="669"/>
      <c r="D11" s="669"/>
      <c r="E11" s="669"/>
      <c r="F11" s="670"/>
    </row>
    <row r="12" spans="1:7" s="1" customFormat="1" x14ac:dyDescent="0.2">
      <c r="A12" s="671" t="s">
        <v>202</v>
      </c>
      <c r="B12" s="672"/>
      <c r="C12" s="672"/>
      <c r="D12" s="672"/>
      <c r="E12" s="672"/>
      <c r="F12" s="673"/>
    </row>
    <row r="13" spans="1:7" s="1" customFormat="1" x14ac:dyDescent="0.2">
      <c r="A13" s="258" t="s">
        <v>1</v>
      </c>
      <c r="B13" s="263" t="s">
        <v>203</v>
      </c>
      <c r="C13" s="259">
        <v>2000000</v>
      </c>
      <c r="D13" s="259">
        <v>2000000</v>
      </c>
      <c r="E13" s="264">
        <v>0</v>
      </c>
      <c r="F13" s="265">
        <f>D13+E13</f>
        <v>2000000</v>
      </c>
    </row>
    <row r="14" spans="1:7" s="1" customFormat="1" x14ac:dyDescent="0.2">
      <c r="A14" s="266" t="s">
        <v>2</v>
      </c>
      <c r="B14" s="263" t="s">
        <v>204</v>
      </c>
      <c r="C14" s="259">
        <v>250000</v>
      </c>
      <c r="D14" s="259">
        <v>250000</v>
      </c>
      <c r="E14" s="264">
        <v>0</v>
      </c>
      <c r="F14" s="265">
        <f t="shared" ref="F14:F22" si="0">D14+E14</f>
        <v>250000</v>
      </c>
    </row>
    <row r="15" spans="1:7" s="1" customFormat="1" x14ac:dyDescent="0.2">
      <c r="A15" s="258" t="s">
        <v>4</v>
      </c>
      <c r="B15" s="263" t="s">
        <v>205</v>
      </c>
      <c r="C15" s="267">
        <v>4803512</v>
      </c>
      <c r="D15" s="267">
        <v>4803512</v>
      </c>
      <c r="E15" s="264">
        <v>2187066</v>
      </c>
      <c r="F15" s="265">
        <f t="shared" si="0"/>
        <v>6990578</v>
      </c>
    </row>
    <row r="16" spans="1:7" s="1" customFormat="1" x14ac:dyDescent="0.2">
      <c r="A16" s="266" t="s">
        <v>124</v>
      </c>
      <c r="B16" s="263" t="s">
        <v>206</v>
      </c>
      <c r="C16" s="268">
        <v>20551012</v>
      </c>
      <c r="D16" s="268">
        <v>20551012</v>
      </c>
      <c r="E16" s="264">
        <v>0</v>
      </c>
      <c r="F16" s="265">
        <f t="shared" si="0"/>
        <v>20551012</v>
      </c>
    </row>
    <row r="17" spans="1:6" s="1" customFormat="1" x14ac:dyDescent="0.2">
      <c r="A17" s="258" t="s">
        <v>127</v>
      </c>
      <c r="B17" s="263" t="s">
        <v>207</v>
      </c>
      <c r="C17" s="267">
        <v>5619431</v>
      </c>
      <c r="D17" s="260">
        <v>5619431</v>
      </c>
      <c r="E17" s="269">
        <v>0</v>
      </c>
      <c r="F17" s="265">
        <f t="shared" si="0"/>
        <v>5619431</v>
      </c>
    </row>
    <row r="18" spans="1:6" s="1" customFormat="1" x14ac:dyDescent="0.2">
      <c r="A18" s="266" t="s">
        <v>130</v>
      </c>
      <c r="B18" s="263" t="s">
        <v>208</v>
      </c>
      <c r="C18" s="267">
        <v>283673</v>
      </c>
      <c r="D18" s="267">
        <v>283673</v>
      </c>
      <c r="E18" s="264">
        <v>0</v>
      </c>
      <c r="F18" s="265">
        <f t="shared" si="0"/>
        <v>283673</v>
      </c>
    </row>
    <row r="19" spans="1:6" s="1" customFormat="1" x14ac:dyDescent="0.2">
      <c r="A19" s="258" t="s">
        <v>133</v>
      </c>
      <c r="B19" s="263" t="s">
        <v>209</v>
      </c>
      <c r="C19" s="267">
        <v>191995</v>
      </c>
      <c r="D19" s="260">
        <v>191995</v>
      </c>
      <c r="E19" s="269">
        <v>0</v>
      </c>
      <c r="F19" s="265">
        <f t="shared" si="0"/>
        <v>191995</v>
      </c>
    </row>
    <row r="20" spans="1:6" s="1" customFormat="1" x14ac:dyDescent="0.2">
      <c r="A20" s="266" t="s">
        <v>136</v>
      </c>
      <c r="B20" s="329" t="s">
        <v>210</v>
      </c>
      <c r="C20" s="267">
        <v>42397</v>
      </c>
      <c r="D20" s="260">
        <v>42397</v>
      </c>
      <c r="E20" s="264">
        <v>0</v>
      </c>
      <c r="F20" s="265">
        <f t="shared" si="0"/>
        <v>42397</v>
      </c>
    </row>
    <row r="21" spans="1:6" s="1" customFormat="1" x14ac:dyDescent="0.2">
      <c r="A21" s="327" t="s">
        <v>138</v>
      </c>
      <c r="B21" s="338" t="s">
        <v>236</v>
      </c>
      <c r="C21" s="328">
        <v>0</v>
      </c>
      <c r="D21" s="260">
        <v>3901</v>
      </c>
      <c r="E21" s="264">
        <v>0</v>
      </c>
      <c r="F21" s="265">
        <f t="shared" si="0"/>
        <v>3901</v>
      </c>
    </row>
    <row r="22" spans="1:6" s="333" customFormat="1" ht="31.5" x14ac:dyDescent="0.2">
      <c r="A22" s="332" t="s">
        <v>141</v>
      </c>
      <c r="B22" s="339" t="s">
        <v>237</v>
      </c>
      <c r="C22" s="334">
        <v>0</v>
      </c>
      <c r="D22" s="335">
        <v>2</v>
      </c>
      <c r="E22" s="336">
        <v>0</v>
      </c>
      <c r="F22" s="337">
        <f t="shared" si="0"/>
        <v>2</v>
      </c>
    </row>
    <row r="23" spans="1:6" s="1" customFormat="1" x14ac:dyDescent="0.2">
      <c r="A23" s="660" t="s">
        <v>211</v>
      </c>
      <c r="B23" s="661"/>
      <c r="C23" s="270">
        <f>SUM(C13:C22)</f>
        <v>33742020</v>
      </c>
      <c r="D23" s="271">
        <f>SUM(D13:D22)</f>
        <v>33745923</v>
      </c>
      <c r="E23" s="271">
        <f>SUM(E13:E22)</f>
        <v>2187066</v>
      </c>
      <c r="F23" s="272">
        <f>SUM(F13:F22)</f>
        <v>35932989</v>
      </c>
    </row>
    <row r="24" spans="1:6" s="1" customFormat="1" ht="16.5" thickBot="1" x14ac:dyDescent="0.25">
      <c r="A24" s="674" t="s">
        <v>212</v>
      </c>
      <c r="B24" s="675"/>
      <c r="C24" s="273">
        <f>C23</f>
        <v>33742020</v>
      </c>
      <c r="D24" s="273">
        <f t="shared" ref="D24:F24" si="1">D23</f>
        <v>33745923</v>
      </c>
      <c r="E24" s="273">
        <f t="shared" si="1"/>
        <v>2187066</v>
      </c>
      <c r="F24" s="274">
        <f t="shared" si="1"/>
        <v>35932989</v>
      </c>
    </row>
    <row r="25" spans="1:6" s="275" customFormat="1" x14ac:dyDescent="0.2">
      <c r="A25" s="668" t="s">
        <v>213</v>
      </c>
      <c r="B25" s="669"/>
      <c r="C25" s="669"/>
      <c r="D25" s="669"/>
      <c r="E25" s="669"/>
      <c r="F25" s="670"/>
    </row>
    <row r="26" spans="1:6" s="275" customFormat="1" x14ac:dyDescent="0.2">
      <c r="A26" s="676" t="s">
        <v>214</v>
      </c>
      <c r="B26" s="677"/>
      <c r="C26" s="677"/>
      <c r="D26" s="677"/>
      <c r="E26" s="677"/>
      <c r="F26" s="678"/>
    </row>
    <row r="27" spans="1:6" s="106" customFormat="1" x14ac:dyDescent="0.2">
      <c r="A27" s="258" t="s">
        <v>144</v>
      </c>
      <c r="B27" s="276" t="s">
        <v>196</v>
      </c>
      <c r="C27" s="277">
        <v>4000000</v>
      </c>
      <c r="D27" s="278">
        <v>6000000</v>
      </c>
      <c r="E27" s="279">
        <v>0</v>
      </c>
      <c r="F27" s="280">
        <f>D27+E27</f>
        <v>6000000</v>
      </c>
    </row>
    <row r="28" spans="1:6" s="106" customFormat="1" x14ac:dyDescent="0.2">
      <c r="A28" s="326" t="s">
        <v>147</v>
      </c>
      <c r="B28" s="331" t="s">
        <v>197</v>
      </c>
      <c r="C28" s="277">
        <v>0</v>
      </c>
      <c r="D28" s="277">
        <v>140000</v>
      </c>
      <c r="E28" s="330">
        <v>0</v>
      </c>
      <c r="F28" s="280">
        <f>D28+E28</f>
        <v>140000</v>
      </c>
    </row>
    <row r="29" spans="1:6" s="1" customFormat="1" x14ac:dyDescent="0.2">
      <c r="A29" s="660" t="s">
        <v>215</v>
      </c>
      <c r="B29" s="661"/>
      <c r="C29" s="281">
        <f>SUM(C27:C28)</f>
        <v>4000000</v>
      </c>
      <c r="D29" s="372">
        <f t="shared" ref="D29:F29" si="2">SUM(D27:D28)</f>
        <v>6140000</v>
      </c>
      <c r="E29" s="281">
        <f t="shared" si="2"/>
        <v>0</v>
      </c>
      <c r="F29" s="373">
        <f t="shared" si="2"/>
        <v>6140000</v>
      </c>
    </row>
    <row r="30" spans="1:6" s="1" customFormat="1" ht="16.5" thickBot="1" x14ac:dyDescent="0.25">
      <c r="A30" s="662" t="s">
        <v>198</v>
      </c>
      <c r="B30" s="663"/>
      <c r="C30" s="282">
        <f>C29</f>
        <v>4000000</v>
      </c>
      <c r="D30" s="283">
        <f>D29</f>
        <v>6140000</v>
      </c>
      <c r="E30" s="284">
        <f>E29</f>
        <v>0</v>
      </c>
      <c r="F30" s="285">
        <f>D30+E30</f>
        <v>6140000</v>
      </c>
    </row>
    <row r="31" spans="1:6" s="1" customFormat="1" ht="16.5" thickBot="1" x14ac:dyDescent="0.25">
      <c r="A31" s="664" t="s">
        <v>216</v>
      </c>
      <c r="B31" s="665"/>
      <c r="C31" s="286">
        <f>C24+C30</f>
        <v>37742020</v>
      </c>
      <c r="D31" s="287">
        <f>D24+D30</f>
        <v>39885923</v>
      </c>
      <c r="E31" s="287">
        <f>E24+E30</f>
        <v>2187066</v>
      </c>
      <c r="F31" s="288">
        <f>F24+F30</f>
        <v>42072989</v>
      </c>
    </row>
    <row r="33" spans="1:4" x14ac:dyDescent="0.25">
      <c r="A33" s="666"/>
      <c r="B33" s="667"/>
      <c r="C33" s="262"/>
      <c r="D33" s="262"/>
    </row>
    <row r="34" spans="1:4" ht="20.25" x14ac:dyDescent="0.3">
      <c r="B34" s="289"/>
    </row>
  </sheetData>
  <mergeCells count="22">
    <mergeCell ref="F9:F10"/>
    <mergeCell ref="A1:F1"/>
    <mergeCell ref="A2:F2"/>
    <mergeCell ref="A4:F4"/>
    <mergeCell ref="A5:F5"/>
    <mergeCell ref="A6:F6"/>
    <mergeCell ref="A7:F7"/>
    <mergeCell ref="A9:A10"/>
    <mergeCell ref="B9:B10"/>
    <mergeCell ref="C9:C10"/>
    <mergeCell ref="D9:D10"/>
    <mergeCell ref="E9:E10"/>
    <mergeCell ref="A29:B29"/>
    <mergeCell ref="A30:B30"/>
    <mergeCell ref="A31:B31"/>
    <mergeCell ref="A33:B33"/>
    <mergeCell ref="A11:F11"/>
    <mergeCell ref="A12:F12"/>
    <mergeCell ref="A23:B23"/>
    <mergeCell ref="A24:B24"/>
    <mergeCell ref="A25:F25"/>
    <mergeCell ref="A26:F26"/>
  </mergeCells>
  <printOptions horizontalCentered="1"/>
  <pageMargins left="0.19685039370078741" right="0.19685039370078741" top="0" bottom="0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4B01-8CF6-4CDB-9AC4-C03592883D34}">
  <sheetPr>
    <tabColor theme="8" tint="0.59999389629810485"/>
  </sheetPr>
  <dimension ref="A1:K28"/>
  <sheetViews>
    <sheetView zoomScaleNormal="100" workbookViewId="0">
      <pane ySplit="9" topLeftCell="A16" activePane="bottomLeft" state="frozen"/>
      <selection pane="bottomLeft" activeCell="K19" sqref="K19"/>
    </sheetView>
  </sheetViews>
  <sheetFormatPr defaultRowHeight="12.75" x14ac:dyDescent="0.2"/>
  <cols>
    <col min="1" max="1" width="6.42578125" customWidth="1"/>
    <col min="2" max="2" width="100.28515625" customWidth="1"/>
    <col min="3" max="4" width="12.7109375" style="325" customWidth="1"/>
    <col min="5" max="6" width="12.7109375" customWidth="1"/>
    <col min="8" max="10" width="10.140625" bestFit="1" customWidth="1"/>
  </cols>
  <sheetData>
    <row r="1" spans="1:10" ht="14.25" x14ac:dyDescent="0.2">
      <c r="A1" s="464" t="s">
        <v>243</v>
      </c>
      <c r="B1" s="464"/>
      <c r="C1" s="464"/>
      <c r="D1" s="464"/>
      <c r="E1" s="464"/>
      <c r="F1" s="464"/>
    </row>
    <row r="2" spans="1:10" ht="14.25" x14ac:dyDescent="0.2">
      <c r="A2" s="464" t="s">
        <v>217</v>
      </c>
      <c r="B2" s="464"/>
      <c r="C2" s="464"/>
      <c r="D2" s="464"/>
      <c r="E2" s="464"/>
      <c r="F2" s="464"/>
    </row>
    <row r="3" spans="1:10" x14ac:dyDescent="0.2">
      <c r="A3" s="701"/>
      <c r="B3" s="701"/>
      <c r="C3" s="701"/>
      <c r="D3" s="172"/>
    </row>
    <row r="4" spans="1:10" ht="15.75" x14ac:dyDescent="0.25">
      <c r="A4" s="455" t="s">
        <v>95</v>
      </c>
      <c r="B4" s="455"/>
      <c r="C4" s="455"/>
      <c r="D4" s="455"/>
      <c r="E4" s="455"/>
      <c r="F4" s="455"/>
    </row>
    <row r="5" spans="1:10" ht="15.75" x14ac:dyDescent="0.25">
      <c r="A5" s="455" t="s">
        <v>218</v>
      </c>
      <c r="B5" s="455"/>
      <c r="C5" s="455"/>
      <c r="D5" s="455"/>
      <c r="E5" s="455"/>
      <c r="F5" s="455"/>
    </row>
    <row r="6" spans="1:10" ht="15.75" x14ac:dyDescent="0.25">
      <c r="A6" s="455" t="s">
        <v>98</v>
      </c>
      <c r="B6" s="455"/>
      <c r="C6" s="455"/>
      <c r="D6" s="455"/>
      <c r="E6" s="455"/>
      <c r="F6" s="455"/>
    </row>
    <row r="7" spans="1:10" ht="15.75" x14ac:dyDescent="0.25">
      <c r="A7" s="693" t="s">
        <v>238</v>
      </c>
      <c r="B7" s="693"/>
      <c r="C7" s="693"/>
      <c r="D7" s="693"/>
      <c r="E7" s="693"/>
      <c r="F7" s="693"/>
    </row>
    <row r="8" spans="1:10" ht="16.5" thickBot="1" x14ac:dyDescent="0.3">
      <c r="A8" s="694"/>
      <c r="B8" s="694"/>
      <c r="C8" s="694"/>
      <c r="D8" s="176"/>
      <c r="F8" s="7" t="s">
        <v>94</v>
      </c>
    </row>
    <row r="9" spans="1:10" ht="48" thickBot="1" x14ac:dyDescent="0.25">
      <c r="A9" s="290" t="s">
        <v>103</v>
      </c>
      <c r="B9" s="291" t="s">
        <v>219</v>
      </c>
      <c r="C9" s="292" t="s">
        <v>28</v>
      </c>
      <c r="D9" s="293" t="s">
        <v>195</v>
      </c>
      <c r="E9" s="294" t="s">
        <v>87</v>
      </c>
      <c r="F9" s="295" t="s">
        <v>195</v>
      </c>
    </row>
    <row r="10" spans="1:10" ht="15.75" x14ac:dyDescent="0.2">
      <c r="A10" s="695" t="s">
        <v>220</v>
      </c>
      <c r="B10" s="696"/>
      <c r="C10" s="696"/>
      <c r="D10" s="696"/>
      <c r="E10" s="696"/>
      <c r="F10" s="697"/>
    </row>
    <row r="11" spans="1:10" s="301" customFormat="1" ht="15.75" x14ac:dyDescent="0.2">
      <c r="A11" s="296" t="s">
        <v>1</v>
      </c>
      <c r="B11" s="297" t="s">
        <v>221</v>
      </c>
      <c r="C11" s="298">
        <v>1905000</v>
      </c>
      <c r="D11" s="298">
        <v>4064000</v>
      </c>
      <c r="E11" s="299">
        <v>0</v>
      </c>
      <c r="F11" s="300">
        <f>D11+E11</f>
        <v>4064000</v>
      </c>
    </row>
    <row r="12" spans="1:10" s="306" customFormat="1" ht="15.75" x14ac:dyDescent="0.2">
      <c r="A12" s="302" t="s">
        <v>2</v>
      </c>
      <c r="B12" s="303" t="s">
        <v>222</v>
      </c>
      <c r="C12" s="304">
        <v>5880100</v>
      </c>
      <c r="D12" s="304">
        <v>5880100</v>
      </c>
      <c r="E12" s="305">
        <v>6402251</v>
      </c>
      <c r="F12" s="300">
        <f t="shared" ref="F12:F20" si="0">D12+E12</f>
        <v>12282351</v>
      </c>
    </row>
    <row r="13" spans="1:10" s="301" customFormat="1" ht="15.75" x14ac:dyDescent="0.2">
      <c r="A13" s="302" t="s">
        <v>4</v>
      </c>
      <c r="B13" s="307" t="s">
        <v>223</v>
      </c>
      <c r="C13" s="304">
        <v>27483222</v>
      </c>
      <c r="D13" s="304">
        <v>27483222</v>
      </c>
      <c r="E13" s="305">
        <v>0</v>
      </c>
      <c r="F13" s="300">
        <f t="shared" si="0"/>
        <v>27483222</v>
      </c>
    </row>
    <row r="14" spans="1:10" s="306" customFormat="1" ht="15.75" x14ac:dyDescent="0.2">
      <c r="A14" s="302" t="s">
        <v>124</v>
      </c>
      <c r="B14" s="307" t="s">
        <v>224</v>
      </c>
      <c r="C14" s="304">
        <v>1121000</v>
      </c>
      <c r="D14" s="304">
        <v>1121000</v>
      </c>
      <c r="E14" s="305">
        <v>0</v>
      </c>
      <c r="F14" s="300">
        <f t="shared" si="0"/>
        <v>1121000</v>
      </c>
    </row>
    <row r="15" spans="1:10" s="306" customFormat="1" ht="15.75" x14ac:dyDescent="0.2">
      <c r="A15" s="302" t="s">
        <v>127</v>
      </c>
      <c r="B15" s="307" t="s">
        <v>225</v>
      </c>
      <c r="C15" s="308">
        <v>1000000</v>
      </c>
      <c r="D15" s="308">
        <v>1000000</v>
      </c>
      <c r="E15" s="305">
        <v>-1000000</v>
      </c>
      <c r="F15" s="300">
        <f t="shared" si="0"/>
        <v>0</v>
      </c>
      <c r="J15" s="309"/>
    </row>
    <row r="16" spans="1:10" s="301" customFormat="1" ht="15.75" x14ac:dyDescent="0.2">
      <c r="A16" s="302" t="s">
        <v>130</v>
      </c>
      <c r="B16" s="275" t="s">
        <v>226</v>
      </c>
      <c r="C16" s="304">
        <v>0</v>
      </c>
      <c r="D16" s="304">
        <v>8000000</v>
      </c>
      <c r="E16" s="305">
        <v>0</v>
      </c>
      <c r="F16" s="300">
        <f t="shared" si="0"/>
        <v>8000000</v>
      </c>
      <c r="I16" s="310"/>
    </row>
    <row r="17" spans="1:11" s="301" customFormat="1" ht="15.75" x14ac:dyDescent="0.2">
      <c r="A17" s="302" t="s">
        <v>133</v>
      </c>
      <c r="B17" s="303" t="s">
        <v>227</v>
      </c>
      <c r="C17" s="311">
        <v>0</v>
      </c>
      <c r="D17" s="311">
        <v>6405000</v>
      </c>
      <c r="E17" s="305">
        <v>-6405000</v>
      </c>
      <c r="F17" s="300">
        <f t="shared" si="0"/>
        <v>0</v>
      </c>
      <c r="H17" s="310"/>
    </row>
    <row r="18" spans="1:11" s="306" customFormat="1" ht="15.75" x14ac:dyDescent="0.2">
      <c r="A18" s="302" t="s">
        <v>136</v>
      </c>
      <c r="B18" s="275" t="s">
        <v>228</v>
      </c>
      <c r="C18" s="312">
        <v>0</v>
      </c>
      <c r="D18" s="312">
        <v>20000000</v>
      </c>
      <c r="E18" s="313">
        <v>0</v>
      </c>
      <c r="F18" s="300">
        <f t="shared" si="0"/>
        <v>20000000</v>
      </c>
      <c r="H18" s="340"/>
      <c r="I18" s="340"/>
      <c r="J18" s="340"/>
      <c r="K18" s="340"/>
    </row>
    <row r="19" spans="1:11" s="306" customFormat="1" ht="15.75" x14ac:dyDescent="0.2">
      <c r="A19" s="302" t="s">
        <v>138</v>
      </c>
      <c r="B19" s="314" t="s">
        <v>229</v>
      </c>
      <c r="C19" s="312">
        <v>0</v>
      </c>
      <c r="D19" s="312">
        <v>52113449</v>
      </c>
      <c r="E19" s="313">
        <v>0</v>
      </c>
      <c r="F19" s="300">
        <f t="shared" ref="F19" si="1">D19+E19</f>
        <v>52113449</v>
      </c>
      <c r="H19" s="340"/>
      <c r="I19" s="340"/>
      <c r="J19" s="340"/>
      <c r="K19" s="340"/>
    </row>
    <row r="20" spans="1:11" s="306" customFormat="1" ht="15.75" x14ac:dyDescent="0.2">
      <c r="A20" s="302" t="s">
        <v>141</v>
      </c>
      <c r="B20" s="314" t="s">
        <v>235</v>
      </c>
      <c r="C20" s="312">
        <v>0</v>
      </c>
      <c r="D20" s="312">
        <v>65000</v>
      </c>
      <c r="E20" s="313">
        <v>0</v>
      </c>
      <c r="F20" s="300">
        <f t="shared" si="0"/>
        <v>65000</v>
      </c>
    </row>
    <row r="21" spans="1:11" s="317" customFormat="1" ht="16.5" thickBot="1" x14ac:dyDescent="0.25">
      <c r="A21" s="691" t="s">
        <v>230</v>
      </c>
      <c r="B21" s="692"/>
      <c r="C21" s="315">
        <f>SUM(C11:C20)</f>
        <v>37389322</v>
      </c>
      <c r="D21" s="315">
        <f>SUM(D11:D20)</f>
        <v>126131771</v>
      </c>
      <c r="E21" s="315">
        <f>SUM(E11:E20)</f>
        <v>-1002749</v>
      </c>
      <c r="F21" s="316">
        <f>SUM(F11:F20)</f>
        <v>125129022</v>
      </c>
    </row>
    <row r="22" spans="1:11" ht="15.75" x14ac:dyDescent="0.2">
      <c r="A22" s="698" t="s">
        <v>231</v>
      </c>
      <c r="B22" s="699"/>
      <c r="C22" s="699"/>
      <c r="D22" s="699"/>
      <c r="E22" s="699"/>
      <c r="F22" s="700"/>
    </row>
    <row r="23" spans="1:11" ht="15.75" x14ac:dyDescent="0.2">
      <c r="A23" s="318" t="s">
        <v>1</v>
      </c>
      <c r="B23" s="319" t="s">
        <v>232</v>
      </c>
      <c r="C23" s="320">
        <v>635000</v>
      </c>
      <c r="D23" s="321">
        <v>3135000</v>
      </c>
      <c r="E23" s="322">
        <v>0</v>
      </c>
      <c r="F23" s="300">
        <f>D23+E23</f>
        <v>3135000</v>
      </c>
    </row>
    <row r="24" spans="1:11" s="317" customFormat="1" ht="16.5" thickBot="1" x14ac:dyDescent="0.25">
      <c r="A24" s="691" t="s">
        <v>233</v>
      </c>
      <c r="B24" s="692"/>
      <c r="C24" s="315">
        <f>SUM(C23:C23)</f>
        <v>635000</v>
      </c>
      <c r="D24" s="315">
        <f>SUM(D23:D23)</f>
        <v>3135000</v>
      </c>
      <c r="E24" s="323">
        <f>SUM(E23:E23)</f>
        <v>0</v>
      </c>
      <c r="F24" s="324">
        <f>C24+E24</f>
        <v>635000</v>
      </c>
    </row>
    <row r="25" spans="1:11" ht="16.5" thickBot="1" x14ac:dyDescent="0.25">
      <c r="A25" s="691" t="s">
        <v>234</v>
      </c>
      <c r="B25" s="692"/>
      <c r="C25" s="315">
        <f>C21+C24</f>
        <v>38024322</v>
      </c>
      <c r="D25" s="315">
        <f>D21+D24</f>
        <v>129266771</v>
      </c>
      <c r="E25" s="323">
        <f>E21+E24</f>
        <v>-1002749</v>
      </c>
      <c r="F25" s="324">
        <f>D25+E25</f>
        <v>128264022</v>
      </c>
    </row>
    <row r="26" spans="1:11" ht="21.95" customHeight="1" x14ac:dyDescent="0.2">
      <c r="A26" s="3"/>
      <c r="B26" s="3"/>
    </row>
    <row r="27" spans="1:11" ht="21.95" customHeight="1" x14ac:dyDescent="0.3">
      <c r="B27" s="342"/>
    </row>
    <row r="28" spans="1:11" ht="18" x14ac:dyDescent="0.25">
      <c r="B28" s="341"/>
      <c r="F28" s="325"/>
    </row>
  </sheetData>
  <mergeCells count="13">
    <mergeCell ref="A6:F6"/>
    <mergeCell ref="A1:F1"/>
    <mergeCell ref="A2:F2"/>
    <mergeCell ref="A3:C3"/>
    <mergeCell ref="A4:F4"/>
    <mergeCell ref="A5:F5"/>
    <mergeCell ref="A25:B25"/>
    <mergeCell ref="A7:F7"/>
    <mergeCell ref="A8:C8"/>
    <mergeCell ref="A10:F10"/>
    <mergeCell ref="A21:B21"/>
    <mergeCell ref="A22:F22"/>
    <mergeCell ref="A24:B24"/>
  </mergeCells>
  <pageMargins left="0.51181102362204722" right="0.5118110236220472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1.</vt:lpstr>
      <vt:lpstr>2.</vt:lpstr>
      <vt:lpstr>3.</vt:lpstr>
      <vt:lpstr>4.</vt:lpstr>
      <vt:lpstr>5.</vt:lpstr>
      <vt:lpstr>6.</vt:lpstr>
      <vt:lpstr>7.</vt:lpstr>
      <vt:lpstr>8.</vt:lpstr>
      <vt:lpstr>'1.'!Nyomtatási_cím</vt:lpstr>
      <vt:lpstr>'2.'!Nyomtatási_cím</vt:lpstr>
      <vt:lpstr>'3.'!Nyomtatási_cím</vt:lpstr>
      <vt:lpstr>'5.'!Nyomtatási_cím</vt:lpstr>
      <vt:lpstr>'6.'!Nyomtatási_cím</vt:lpstr>
      <vt:lpstr>'1.'!Nyomtatási_terület</vt:lpstr>
      <vt:lpstr>'2.'!Nyomtatási_terület</vt:lpstr>
      <vt:lpstr>'3.'!Nyomtatási_terület</vt:lpstr>
      <vt:lpstr>'4.'!Nyomtatási_terület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Pénzügyi csoport</dc:creator>
  <cp:lastModifiedBy>Mar.Norbert</cp:lastModifiedBy>
  <cp:lastPrinted>2025-03-14T10:19:37Z</cp:lastPrinted>
  <dcterms:created xsi:type="dcterms:W3CDTF">2007-02-22T10:27:43Z</dcterms:created>
  <dcterms:modified xsi:type="dcterms:W3CDTF">2025-03-21T09:08:38Z</dcterms:modified>
</cp:coreProperties>
</file>