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2025\07_szeptember_26\Eloterjesztesek\"/>
    </mc:Choice>
  </mc:AlternateContent>
  <xr:revisionPtr revIDLastSave="0" documentId="13_ncr:1_{B4CCE474-54B5-4BE4-BA32-514ED24FAE4D}" xr6:coauthVersionLast="47" xr6:coauthVersionMax="47" xr10:uidLastSave="{00000000-0000-0000-0000-000000000000}"/>
  <bookViews>
    <workbookView xWindow="-120" yWindow="-120" windowWidth="29040" windowHeight="15840" tabRatio="841" activeTab="3" xr2:uid="{00000000-000D-0000-FFFF-FFFF00000000}"/>
  </bookViews>
  <sheets>
    <sheet name="1." sheetId="63" r:id="rId1"/>
    <sheet name="2." sheetId="53" r:id="rId2"/>
    <sheet name="3." sheetId="62" r:id="rId3"/>
    <sheet name="4." sheetId="70" r:id="rId4"/>
    <sheet name="5." sheetId="71" r:id="rId5"/>
    <sheet name="6." sheetId="72" r:id="rId6"/>
    <sheet name="7." sheetId="73" r:id="rId7"/>
    <sheet name="8." sheetId="68" r:id="rId8"/>
    <sheet name="9." sheetId="74" r:id="rId9"/>
  </sheets>
  <definedNames>
    <definedName name="_xlnm.Print_Titles" localSheetId="0">'1.'!$1:$11</definedName>
    <definedName name="_xlnm.Print_Titles" localSheetId="1">'2.'!$1:$11</definedName>
    <definedName name="_xlnm.Print_Titles" localSheetId="2">'3.'!$1:$11</definedName>
    <definedName name="_xlnm.Print_Titles" localSheetId="4">'5.'!$1:$12</definedName>
    <definedName name="_xlnm.Print_Titles" localSheetId="5">'6.'!$1:$11</definedName>
    <definedName name="_xlnm.Print_Titles" localSheetId="7">'8.'!$1:$10</definedName>
    <definedName name="_xlnm.Print_Area" localSheetId="0">'1.'!$A$1:$P$72</definedName>
    <definedName name="_xlnm.Print_Area" localSheetId="1">'2.'!$A$1:$P$72</definedName>
    <definedName name="_xlnm.Print_Area" localSheetId="2">'3.'!$A$1:$P$71</definedName>
    <definedName name="_xlnm.Print_Area" localSheetId="3">'4.'!$A$1:$L$32</definedName>
    <definedName name="_xlnm.Print_Area" localSheetId="4">'5.'!$A$1:$M$67</definedName>
    <definedName name="_xlnm.Print_Area" localSheetId="5">'6.'!$A$1:$K$72</definedName>
    <definedName name="_xlnm.Print_Area" localSheetId="7">'8.'!$A$1:$F$31</definedName>
    <definedName name="_xlnm.Print_Area" localSheetId="8">'9.'!$A$1:$F$30</definedName>
  </definedNames>
  <calcPr calcId="181029"/>
</workbook>
</file>

<file path=xl/calcChain.xml><?xml version="1.0" encoding="utf-8"?>
<calcChain xmlns="http://schemas.openxmlformats.org/spreadsheetml/2006/main">
  <c r="F26" i="74" l="1"/>
  <c r="I11" i="62" l="1"/>
  <c r="F60" i="63" l="1"/>
  <c r="J39" i="72" l="1"/>
  <c r="L40" i="71"/>
  <c r="J22" i="70"/>
  <c r="H40" i="72"/>
  <c r="G40" i="72"/>
  <c r="F40" i="72"/>
  <c r="F39" i="72"/>
  <c r="H39" i="72"/>
  <c r="G39" i="72"/>
  <c r="I22" i="70"/>
  <c r="F27" i="72"/>
  <c r="H27" i="72"/>
  <c r="F45" i="72"/>
  <c r="H45" i="72"/>
  <c r="I45" i="72"/>
  <c r="I24" i="70"/>
  <c r="E24" i="70"/>
  <c r="G59" i="63"/>
  <c r="O40" i="63"/>
  <c r="H64" i="53"/>
  <c r="G59" i="53"/>
  <c r="O40" i="53"/>
  <c r="O23" i="53"/>
  <c r="O68" i="53"/>
  <c r="G68" i="53"/>
  <c r="G23" i="53"/>
  <c r="E20" i="68"/>
  <c r="F19" i="68"/>
  <c r="F20" i="68" s="1"/>
  <c r="D20" i="68"/>
  <c r="C20" i="68"/>
  <c r="O31" i="53"/>
  <c r="O24" i="53"/>
  <c r="O32" i="53" l="1"/>
  <c r="O66" i="53"/>
  <c r="O44" i="53"/>
  <c r="O34" i="53"/>
  <c r="O19" i="53"/>
  <c r="O15" i="53"/>
  <c r="O33" i="53"/>
  <c r="G15" i="53"/>
  <c r="O20" i="53"/>
  <c r="O16" i="53"/>
  <c r="F22" i="74" l="1"/>
  <c r="E21" i="74"/>
  <c r="E26" i="74" s="1"/>
  <c r="C26" i="74"/>
  <c r="F25" i="74"/>
  <c r="D26" i="74"/>
  <c r="E19" i="73"/>
  <c r="F17" i="73"/>
  <c r="D19" i="73" l="1"/>
  <c r="C19" i="73"/>
  <c r="F18" i="73"/>
  <c r="H64" i="62"/>
  <c r="F64" i="62"/>
  <c r="O64" i="62"/>
  <c r="O40" i="62"/>
  <c r="O59" i="62"/>
  <c r="O23" i="62"/>
  <c r="O19" i="62"/>
  <c r="O15" i="62"/>
  <c r="P15" i="62" s="1"/>
  <c r="G67" i="62"/>
  <c r="E68" i="63"/>
  <c r="E67" i="63"/>
  <c r="E66" i="63"/>
  <c r="E65" i="63"/>
  <c r="E54" i="63"/>
  <c r="E53" i="63"/>
  <c r="E51" i="63" s="1"/>
  <c r="E52" i="63"/>
  <c r="E50" i="63"/>
  <c r="E49" i="63"/>
  <c r="E48" i="63"/>
  <c r="E47" i="63" s="1"/>
  <c r="E46" i="63"/>
  <c r="E58" i="63" s="1"/>
  <c r="E45" i="63"/>
  <c r="E57" i="63" s="1"/>
  <c r="E44" i="63"/>
  <c r="E56" i="63" s="1"/>
  <c r="E29" i="63"/>
  <c r="E39" i="63" s="1"/>
  <c r="E28" i="63"/>
  <c r="E38" i="63" s="1"/>
  <c r="E27" i="63"/>
  <c r="E37" i="63" s="1"/>
  <c r="E26" i="63"/>
  <c r="E25" i="63"/>
  <c r="E24" i="63"/>
  <c r="E23" i="63"/>
  <c r="E22" i="63"/>
  <c r="E21" i="63"/>
  <c r="E20" i="63"/>
  <c r="E19" i="63"/>
  <c r="E18" i="63"/>
  <c r="E17" i="63"/>
  <c r="E16" i="63"/>
  <c r="E15" i="63"/>
  <c r="E14" i="63"/>
  <c r="E13" i="63" s="1"/>
  <c r="M68" i="63"/>
  <c r="M67" i="63"/>
  <c r="M65" i="63"/>
  <c r="M54" i="63"/>
  <c r="M51" i="63" s="1"/>
  <c r="M53" i="63"/>
  <c r="M52" i="63"/>
  <c r="M50" i="63"/>
  <c r="M47" i="63" s="1"/>
  <c r="M49" i="63"/>
  <c r="M48" i="63"/>
  <c r="M46" i="63"/>
  <c r="M43" i="63" s="1"/>
  <c r="M45" i="63"/>
  <c r="M57" i="63" s="1"/>
  <c r="M44" i="63"/>
  <c r="M56" i="63" s="1"/>
  <c r="M37" i="63"/>
  <c r="M35" i="63"/>
  <c r="M39" i="63" s="1"/>
  <c r="M34" i="63"/>
  <c r="M38" i="63" s="1"/>
  <c r="M33" i="63"/>
  <c r="M32" i="63"/>
  <c r="M31" i="63"/>
  <c r="M30" i="63"/>
  <c r="M29" i="63"/>
  <c r="M28" i="63"/>
  <c r="M26" i="63" s="1"/>
  <c r="M27" i="63"/>
  <c r="M25" i="63"/>
  <c r="M24" i="63"/>
  <c r="M22" i="63" s="1"/>
  <c r="M23" i="63"/>
  <c r="M21" i="63"/>
  <c r="M20" i="63"/>
  <c r="M18" i="63" s="1"/>
  <c r="M19" i="63"/>
  <c r="M17" i="63"/>
  <c r="M16" i="63"/>
  <c r="M14" i="63" s="1"/>
  <c r="M15" i="63"/>
  <c r="N31" i="53"/>
  <c r="E65" i="53"/>
  <c r="E61" i="53"/>
  <c r="E58" i="53"/>
  <c r="E57" i="53"/>
  <c r="E62" i="53" s="1"/>
  <c r="E71" i="53" s="1"/>
  <c r="E56" i="53"/>
  <c r="E51" i="53"/>
  <c r="E47" i="53"/>
  <c r="E42" i="53" s="1"/>
  <c r="E43" i="53"/>
  <c r="E39" i="53"/>
  <c r="E36" i="53" s="1"/>
  <c r="E40" i="53" s="1"/>
  <c r="E38" i="53"/>
  <c r="E37" i="53"/>
  <c r="E26" i="53"/>
  <c r="E22" i="53"/>
  <c r="E18" i="53"/>
  <c r="E14" i="53"/>
  <c r="E13" i="53"/>
  <c r="M65" i="53"/>
  <c r="M58" i="53"/>
  <c r="M57" i="53"/>
  <c r="M56" i="53"/>
  <c r="M55" i="53"/>
  <c r="M51" i="53"/>
  <c r="M47" i="53"/>
  <c r="M43" i="53"/>
  <c r="M42" i="53"/>
  <c r="M39" i="53"/>
  <c r="M63" i="53" s="1"/>
  <c r="M72" i="53" s="1"/>
  <c r="M38" i="53"/>
  <c r="M62" i="53" s="1"/>
  <c r="M71" i="53" s="1"/>
  <c r="M37" i="53"/>
  <c r="M61" i="53" s="1"/>
  <c r="M36" i="53"/>
  <c r="M31" i="53"/>
  <c r="M30" i="53" s="1"/>
  <c r="M26" i="53"/>
  <c r="M22" i="53"/>
  <c r="M13" i="53" s="1"/>
  <c r="M18" i="53"/>
  <c r="M14" i="53"/>
  <c r="P44" i="62"/>
  <c r="M65" i="62"/>
  <c r="M58" i="62"/>
  <c r="M57" i="62"/>
  <c r="M56" i="62"/>
  <c r="M51" i="62"/>
  <c r="M47" i="62"/>
  <c r="M43" i="62"/>
  <c r="M39" i="62"/>
  <c r="M38" i="62"/>
  <c r="M62" i="62" s="1"/>
  <c r="M70" i="62" s="1"/>
  <c r="M37" i="62"/>
  <c r="M30" i="62"/>
  <c r="M26" i="62"/>
  <c r="M22" i="62"/>
  <c r="M18" i="62"/>
  <c r="M14" i="62"/>
  <c r="E65" i="62"/>
  <c r="E62" i="62"/>
  <c r="E70" i="62" s="1"/>
  <c r="E58" i="62"/>
  <c r="E55" i="62" s="1"/>
  <c r="E57" i="62"/>
  <c r="E56" i="62"/>
  <c r="E51" i="62"/>
  <c r="E42" i="62" s="1"/>
  <c r="E47" i="62"/>
  <c r="E43" i="62"/>
  <c r="E39" i="62"/>
  <c r="E63" i="62" s="1"/>
  <c r="E71" i="62" s="1"/>
  <c r="E38" i="62"/>
  <c r="E37" i="62"/>
  <c r="E61" i="62" s="1"/>
  <c r="E26" i="62"/>
  <c r="E22" i="62"/>
  <c r="E18" i="62"/>
  <c r="E14" i="62"/>
  <c r="H15" i="62"/>
  <c r="H16" i="62"/>
  <c r="F13" i="73"/>
  <c r="F14" i="73"/>
  <c r="F15" i="73"/>
  <c r="F16" i="73"/>
  <c r="F12" i="73"/>
  <c r="D26" i="68"/>
  <c r="D25" i="68"/>
  <c r="E25" i="68"/>
  <c r="E26" i="68" s="1"/>
  <c r="F24" i="68"/>
  <c r="F25" i="68" s="1"/>
  <c r="F26" i="68" s="1"/>
  <c r="E21" i="68"/>
  <c r="D21" i="68"/>
  <c r="F14" i="68"/>
  <c r="F21" i="68" s="1"/>
  <c r="F15" i="68"/>
  <c r="F16" i="68"/>
  <c r="F17" i="68"/>
  <c r="F18" i="68"/>
  <c r="F13" i="68"/>
  <c r="D27" i="68" l="1"/>
  <c r="F19" i="73"/>
  <c r="E62" i="63"/>
  <c r="E71" i="63" s="1"/>
  <c r="E36" i="63"/>
  <c r="E40" i="63" s="1"/>
  <c r="E61" i="63"/>
  <c r="E63" i="63"/>
  <c r="E72" i="63" s="1"/>
  <c r="E55" i="63"/>
  <c r="E59" i="63" s="1"/>
  <c r="E43" i="63"/>
  <c r="E42" i="63" s="1"/>
  <c r="M62" i="63"/>
  <c r="M71" i="63" s="1"/>
  <c r="M36" i="63"/>
  <c r="M13" i="63"/>
  <c r="M42" i="63"/>
  <c r="M61" i="63"/>
  <c r="M58" i="63"/>
  <c r="M55" i="63" s="1"/>
  <c r="E55" i="53"/>
  <c r="E59" i="53" s="1"/>
  <c r="E63" i="53"/>
  <c r="E72" i="53" s="1"/>
  <c r="E70" i="53"/>
  <c r="E69" i="53" s="1"/>
  <c r="M70" i="53"/>
  <c r="M69" i="53" s="1"/>
  <c r="M60" i="53"/>
  <c r="M61" i="62"/>
  <c r="M69" i="62" s="1"/>
  <c r="M68" i="62" s="1"/>
  <c r="M55" i="62"/>
  <c r="M42" i="62"/>
  <c r="M13" i="62"/>
  <c r="M36" i="62"/>
  <c r="E13" i="62"/>
  <c r="E36" i="62"/>
  <c r="E59" i="62"/>
  <c r="M63" i="62"/>
  <c r="M71" i="62" s="1"/>
  <c r="E40" i="62"/>
  <c r="E60" i="62"/>
  <c r="E69" i="62"/>
  <c r="E68" i="62" s="1"/>
  <c r="E60" i="63" l="1"/>
  <c r="E64" i="63" s="1"/>
  <c r="E70" i="63"/>
  <c r="E69" i="63" s="1"/>
  <c r="M70" i="63"/>
  <c r="M63" i="63"/>
  <c r="M72" i="63" s="1"/>
  <c r="E60" i="53"/>
  <c r="E64" i="53" s="1"/>
  <c r="M60" i="62"/>
  <c r="E64" i="62" s="1"/>
  <c r="M60" i="63" l="1"/>
  <c r="M69" i="63"/>
  <c r="D29" i="74" l="1"/>
  <c r="D30" i="74" s="1"/>
  <c r="E29" i="74"/>
  <c r="F28" i="74"/>
  <c r="F29" i="74" s="1"/>
  <c r="F12" i="74"/>
  <c r="F13" i="74"/>
  <c r="F14" i="74"/>
  <c r="F15" i="74"/>
  <c r="F16" i="74"/>
  <c r="F17" i="74"/>
  <c r="F18" i="74"/>
  <c r="F19" i="74"/>
  <c r="F20" i="74"/>
  <c r="F21" i="74"/>
  <c r="F23" i="74"/>
  <c r="F24" i="74"/>
  <c r="F11" i="74"/>
  <c r="F30" i="74" l="1"/>
  <c r="E30" i="74"/>
  <c r="C29" i="74" l="1"/>
  <c r="C30" i="74" l="1"/>
  <c r="G68" i="63" l="1"/>
  <c r="F68" i="63"/>
  <c r="G67" i="63"/>
  <c r="F67" i="63"/>
  <c r="H67" i="63" s="1"/>
  <c r="O68" i="63"/>
  <c r="N68" i="63"/>
  <c r="F66" i="63"/>
  <c r="F65" i="63" s="1"/>
  <c r="P68" i="53"/>
  <c r="H68" i="53"/>
  <c r="P67" i="53"/>
  <c r="H67" i="53"/>
  <c r="P66" i="53"/>
  <c r="H66" i="53"/>
  <c r="O65" i="53"/>
  <c r="N65" i="53"/>
  <c r="G65" i="53"/>
  <c r="F65" i="53"/>
  <c r="P65" i="53" l="1"/>
  <c r="H65" i="53"/>
  <c r="H68" i="63"/>
  <c r="P68" i="63"/>
  <c r="H47" i="72"/>
  <c r="F63" i="72"/>
  <c r="I18" i="70"/>
  <c r="E18" i="70"/>
  <c r="F28" i="71"/>
  <c r="K28" i="71" s="1"/>
  <c r="K30" i="71" s="1"/>
  <c r="M30" i="71" s="1"/>
  <c r="J31" i="71"/>
  <c r="K31" i="71" s="1"/>
  <c r="K33" i="71" s="1"/>
  <c r="J25" i="71"/>
  <c r="K25" i="71" s="1"/>
  <c r="M25" i="71" s="1"/>
  <c r="J22" i="71"/>
  <c r="K22" i="71" s="1"/>
  <c r="J19" i="71"/>
  <c r="J21" i="71" s="1"/>
  <c r="J16" i="71"/>
  <c r="J13" i="71"/>
  <c r="K13" i="71" s="1"/>
  <c r="M13" i="71" s="1"/>
  <c r="I19" i="70"/>
  <c r="G19" i="70"/>
  <c r="I17" i="70"/>
  <c r="G17" i="70"/>
  <c r="I16" i="70"/>
  <c r="G16" i="70"/>
  <c r="H16" i="70" s="1"/>
  <c r="I15" i="70"/>
  <c r="K15" i="70" s="1"/>
  <c r="G15" i="70"/>
  <c r="I14" i="70"/>
  <c r="K14" i="70" s="1"/>
  <c r="G14" i="70"/>
  <c r="H14" i="70" s="1"/>
  <c r="I13" i="70"/>
  <c r="G13" i="70"/>
  <c r="J64" i="72"/>
  <c r="I64" i="72"/>
  <c r="H64" i="72"/>
  <c r="G64" i="72"/>
  <c r="F64" i="72"/>
  <c r="J63" i="72"/>
  <c r="I63" i="72"/>
  <c r="I65" i="72" s="1"/>
  <c r="G63" i="72"/>
  <c r="K62" i="72"/>
  <c r="J62" i="72"/>
  <c r="I62" i="72"/>
  <c r="H62" i="72"/>
  <c r="G62" i="72"/>
  <c r="F62" i="72"/>
  <c r="K61" i="72"/>
  <c r="K60" i="72"/>
  <c r="K59" i="72"/>
  <c r="J59" i="72"/>
  <c r="I59" i="72"/>
  <c r="H59" i="72"/>
  <c r="G59" i="72"/>
  <c r="F59" i="72"/>
  <c r="K58" i="72"/>
  <c r="K57" i="72"/>
  <c r="K56" i="72"/>
  <c r="J56" i="72"/>
  <c r="I56" i="72"/>
  <c r="H56" i="72"/>
  <c r="G56" i="72"/>
  <c r="F56" i="72"/>
  <c r="K55" i="72"/>
  <c r="K54" i="72"/>
  <c r="K53" i="72"/>
  <c r="J53" i="72"/>
  <c r="I53" i="72"/>
  <c r="H53" i="72"/>
  <c r="G53" i="72"/>
  <c r="F53" i="72"/>
  <c r="K52" i="72"/>
  <c r="K51" i="72"/>
  <c r="K50" i="72"/>
  <c r="J50" i="72"/>
  <c r="I50" i="72"/>
  <c r="H50" i="72"/>
  <c r="G50" i="72"/>
  <c r="F50" i="72"/>
  <c r="K49" i="72"/>
  <c r="K48" i="72"/>
  <c r="J47" i="72"/>
  <c r="I47" i="72"/>
  <c r="G47" i="72"/>
  <c r="F47" i="72"/>
  <c r="K46" i="72"/>
  <c r="J44" i="72"/>
  <c r="I44" i="72"/>
  <c r="H44" i="72"/>
  <c r="G44" i="72"/>
  <c r="F44" i="72"/>
  <c r="K43" i="72"/>
  <c r="K42" i="72"/>
  <c r="K44" i="72" s="1"/>
  <c r="J41" i="72"/>
  <c r="I41" i="72"/>
  <c r="H41" i="72"/>
  <c r="G41" i="72"/>
  <c r="F41" i="72"/>
  <c r="K40" i="72"/>
  <c r="K39" i="72"/>
  <c r="J38" i="72"/>
  <c r="I38" i="72"/>
  <c r="H38" i="72"/>
  <c r="G38" i="72"/>
  <c r="F38" i="72"/>
  <c r="K37" i="72"/>
  <c r="K36" i="72"/>
  <c r="K38" i="72" s="1"/>
  <c r="J35" i="72"/>
  <c r="I35" i="72"/>
  <c r="H35" i="72"/>
  <c r="G35" i="72"/>
  <c r="F35" i="72"/>
  <c r="K34" i="72"/>
  <c r="K33" i="72"/>
  <c r="K35" i="72" s="1"/>
  <c r="J32" i="72"/>
  <c r="I32" i="72"/>
  <c r="H32" i="72"/>
  <c r="G32" i="72"/>
  <c r="F32" i="72"/>
  <c r="K31" i="72"/>
  <c r="K30" i="72"/>
  <c r="K32" i="72" s="1"/>
  <c r="J29" i="72"/>
  <c r="I29" i="72"/>
  <c r="G29" i="72"/>
  <c r="F29" i="72"/>
  <c r="K28" i="72"/>
  <c r="J26" i="72"/>
  <c r="I26" i="72"/>
  <c r="H26" i="72"/>
  <c r="G26" i="72"/>
  <c r="F26" i="72"/>
  <c r="K25" i="72"/>
  <c r="K24" i="72"/>
  <c r="K26" i="72" s="1"/>
  <c r="J23" i="72"/>
  <c r="I23" i="72"/>
  <c r="H23" i="72"/>
  <c r="G23" i="72"/>
  <c r="F23" i="72"/>
  <c r="K22" i="72"/>
  <c r="K21" i="72"/>
  <c r="K23" i="72" s="1"/>
  <c r="J20" i="72"/>
  <c r="I20" i="72"/>
  <c r="H20" i="72"/>
  <c r="G20" i="72"/>
  <c r="F20" i="72"/>
  <c r="K19" i="72"/>
  <c r="K18" i="72"/>
  <c r="K20" i="72" s="1"/>
  <c r="J17" i="72"/>
  <c r="I17" i="72"/>
  <c r="H17" i="72"/>
  <c r="G17" i="72"/>
  <c r="F17" i="72"/>
  <c r="K16" i="72"/>
  <c r="K15" i="72"/>
  <c r="K17" i="72" s="1"/>
  <c r="J14" i="72"/>
  <c r="I14" i="72"/>
  <c r="H14" i="72"/>
  <c r="G14" i="72"/>
  <c r="F14" i="72"/>
  <c r="K13" i="72"/>
  <c r="K64" i="72" s="1"/>
  <c r="K12" i="72"/>
  <c r="K14" i="72" s="1"/>
  <c r="L65" i="71"/>
  <c r="J65" i="71"/>
  <c r="I65" i="71"/>
  <c r="H65" i="71"/>
  <c r="G65" i="71"/>
  <c r="F65" i="71"/>
  <c r="L64" i="71"/>
  <c r="L66" i="71" s="1"/>
  <c r="I64" i="71"/>
  <c r="H64" i="71"/>
  <c r="G64" i="71"/>
  <c r="G66" i="71" s="1"/>
  <c r="L63" i="71"/>
  <c r="J63" i="71"/>
  <c r="I63" i="71"/>
  <c r="H63" i="71"/>
  <c r="G63" i="71"/>
  <c r="F63" i="71"/>
  <c r="M62" i="71"/>
  <c r="K61" i="71"/>
  <c r="M61" i="71" s="1"/>
  <c r="L60" i="71"/>
  <c r="J60" i="71"/>
  <c r="I60" i="71"/>
  <c r="H60" i="71"/>
  <c r="G60" i="71"/>
  <c r="F60" i="71"/>
  <c r="M59" i="71"/>
  <c r="K58" i="71"/>
  <c r="M58" i="71" s="1"/>
  <c r="L57" i="71"/>
  <c r="J57" i="71"/>
  <c r="I57" i="71"/>
  <c r="H57" i="71"/>
  <c r="G57" i="71"/>
  <c r="F57" i="71"/>
  <c r="M56" i="71"/>
  <c r="M55" i="71"/>
  <c r="K55" i="71"/>
  <c r="K57" i="71" s="1"/>
  <c r="M57" i="71" s="1"/>
  <c r="L54" i="71"/>
  <c r="J54" i="71"/>
  <c r="I54" i="71"/>
  <c r="H54" i="71"/>
  <c r="G54" i="71"/>
  <c r="F54" i="71"/>
  <c r="M53" i="71"/>
  <c r="K53" i="71"/>
  <c r="K52" i="71"/>
  <c r="K54" i="71" s="1"/>
  <c r="M54" i="71" s="1"/>
  <c r="L51" i="71"/>
  <c r="J51" i="71"/>
  <c r="I51" i="71"/>
  <c r="H51" i="71"/>
  <c r="G51" i="71"/>
  <c r="F51" i="71"/>
  <c r="M50" i="71"/>
  <c r="K50" i="71"/>
  <c r="K49" i="71"/>
  <c r="K51" i="71" s="1"/>
  <c r="M51" i="71" s="1"/>
  <c r="L48" i="71"/>
  <c r="J48" i="71"/>
  <c r="I48" i="71"/>
  <c r="H48" i="71"/>
  <c r="G48" i="71"/>
  <c r="F48" i="71"/>
  <c r="K47" i="71"/>
  <c r="K46" i="71"/>
  <c r="M46" i="71" s="1"/>
  <c r="L45" i="71"/>
  <c r="J45" i="71"/>
  <c r="I45" i="71"/>
  <c r="H45" i="71"/>
  <c r="G45" i="71"/>
  <c r="F45" i="71"/>
  <c r="M44" i="71"/>
  <c r="K43" i="71"/>
  <c r="K45" i="71" s="1"/>
  <c r="L42" i="71"/>
  <c r="J42" i="71"/>
  <c r="I42" i="71"/>
  <c r="H42" i="71"/>
  <c r="G42" i="71"/>
  <c r="F42" i="71"/>
  <c r="M41" i="71"/>
  <c r="K40" i="71"/>
  <c r="M40" i="71" s="1"/>
  <c r="L39" i="71"/>
  <c r="J39" i="71"/>
  <c r="I39" i="71"/>
  <c r="H39" i="71"/>
  <c r="G39" i="71"/>
  <c r="F39" i="71"/>
  <c r="M38" i="71"/>
  <c r="K37" i="71"/>
  <c r="M37" i="71" s="1"/>
  <c r="L36" i="71"/>
  <c r="J36" i="71"/>
  <c r="I36" i="71"/>
  <c r="H36" i="71"/>
  <c r="G36" i="71"/>
  <c r="F36" i="71"/>
  <c r="M35" i="71"/>
  <c r="K34" i="71"/>
  <c r="K36" i="71" s="1"/>
  <c r="M36" i="71" s="1"/>
  <c r="L33" i="71"/>
  <c r="J33" i="71"/>
  <c r="I33" i="71"/>
  <c r="H33" i="71"/>
  <c r="G33" i="71"/>
  <c r="F33" i="71"/>
  <c r="M32" i="71"/>
  <c r="L30" i="71"/>
  <c r="J30" i="71"/>
  <c r="I30" i="71"/>
  <c r="H30" i="71"/>
  <c r="G30" i="71"/>
  <c r="M29" i="71"/>
  <c r="L27" i="71"/>
  <c r="J27" i="71"/>
  <c r="I27" i="71"/>
  <c r="H27" i="71"/>
  <c r="G27" i="71"/>
  <c r="F27" i="71"/>
  <c r="M26" i="71"/>
  <c r="L24" i="71"/>
  <c r="I24" i="71"/>
  <c r="H24" i="71"/>
  <c r="G24" i="71"/>
  <c r="F24" i="71"/>
  <c r="M23" i="71"/>
  <c r="L21" i="71"/>
  <c r="I21" i="71"/>
  <c r="H21" i="71"/>
  <c r="G21" i="71"/>
  <c r="F21" i="71"/>
  <c r="M20" i="71"/>
  <c r="K19" i="71"/>
  <c r="K21" i="71" s="1"/>
  <c r="M21" i="71" s="1"/>
  <c r="L18" i="71"/>
  <c r="J18" i="71"/>
  <c r="I18" i="71"/>
  <c r="H18" i="71"/>
  <c r="G18" i="71"/>
  <c r="F18" i="71"/>
  <c r="M17" i="71"/>
  <c r="K16" i="71"/>
  <c r="K18" i="71" s="1"/>
  <c r="M18" i="71" s="1"/>
  <c r="L15" i="71"/>
  <c r="I15" i="71"/>
  <c r="H15" i="71"/>
  <c r="G15" i="71"/>
  <c r="F15" i="71"/>
  <c r="M14" i="71"/>
  <c r="J30" i="70"/>
  <c r="F30" i="70"/>
  <c r="E30" i="70"/>
  <c r="K29" i="70"/>
  <c r="L29" i="70" s="1"/>
  <c r="H29" i="70"/>
  <c r="K28" i="70"/>
  <c r="H28" i="70"/>
  <c r="K27" i="70"/>
  <c r="H27" i="70"/>
  <c r="K26" i="70"/>
  <c r="H26" i="70"/>
  <c r="K25" i="70"/>
  <c r="L25" i="70" s="1"/>
  <c r="H25" i="70"/>
  <c r="K24" i="70"/>
  <c r="H24" i="70"/>
  <c r="K23" i="70"/>
  <c r="L23" i="70" s="1"/>
  <c r="H23" i="70"/>
  <c r="K22" i="70"/>
  <c r="H22" i="70"/>
  <c r="L21" i="70"/>
  <c r="K21" i="70"/>
  <c r="H21" i="70"/>
  <c r="K20" i="70"/>
  <c r="H20" i="70"/>
  <c r="K19" i="70"/>
  <c r="H19" i="70"/>
  <c r="K18" i="70"/>
  <c r="H18" i="70"/>
  <c r="K17" i="70"/>
  <c r="H17" i="70"/>
  <c r="K16" i="70"/>
  <c r="H15" i="70"/>
  <c r="K13" i="70"/>
  <c r="L13" i="70" s="1"/>
  <c r="H13" i="70"/>
  <c r="G65" i="72" l="1"/>
  <c r="K41" i="72"/>
  <c r="K48" i="71"/>
  <c r="M48" i="71" s="1"/>
  <c r="F65" i="72"/>
  <c r="J65" i="72"/>
  <c r="K45" i="72"/>
  <c r="K47" i="72" s="1"/>
  <c r="H63" i="72"/>
  <c r="H65" i="72" s="1"/>
  <c r="H29" i="72"/>
  <c r="K27" i="72"/>
  <c r="K29" i="72" s="1"/>
  <c r="F64" i="71"/>
  <c r="F66" i="71" s="1"/>
  <c r="F30" i="71"/>
  <c r="K24" i="71"/>
  <c r="M24" i="71" s="1"/>
  <c r="M22" i="71"/>
  <c r="J24" i="71"/>
  <c r="M16" i="71"/>
  <c r="J15" i="71"/>
  <c r="J64" i="71"/>
  <c r="J66" i="71" s="1"/>
  <c r="L17" i="70"/>
  <c r="L16" i="70"/>
  <c r="G30" i="70"/>
  <c r="I30" i="70"/>
  <c r="L14" i="70"/>
  <c r="M28" i="71"/>
  <c r="M47" i="71"/>
  <c r="M65" i="71" s="1"/>
  <c r="M52" i="71"/>
  <c r="M33" i="71"/>
  <c r="M34" i="71"/>
  <c r="M45" i="71"/>
  <c r="M49" i="71"/>
  <c r="H66" i="71"/>
  <c r="K65" i="71"/>
  <c r="I66" i="71"/>
  <c r="M19" i="71"/>
  <c r="M31" i="71"/>
  <c r="K42" i="71"/>
  <c r="M42" i="71" s="1"/>
  <c r="M43" i="71"/>
  <c r="K63" i="71"/>
  <c r="M63" i="71" s="1"/>
  <c r="K64" i="71"/>
  <c r="K15" i="71"/>
  <c r="M15" i="71" s="1"/>
  <c r="K27" i="71"/>
  <c r="M27" i="71" s="1"/>
  <c r="K39" i="71"/>
  <c r="M39" i="71" s="1"/>
  <c r="K60" i="71"/>
  <c r="M60" i="71" s="1"/>
  <c r="L27" i="70"/>
  <c r="L15" i="70"/>
  <c r="L22" i="70"/>
  <c r="L24" i="70"/>
  <c r="K30" i="70"/>
  <c r="L20" i="70"/>
  <c r="H30" i="70"/>
  <c r="L19" i="70"/>
  <c r="L26" i="70"/>
  <c r="L28" i="70"/>
  <c r="K63" i="72" l="1"/>
  <c r="K65" i="72" s="1"/>
  <c r="L30" i="70"/>
  <c r="K66" i="71"/>
  <c r="M64" i="71"/>
  <c r="M66" i="71" s="1"/>
  <c r="N30" i="53"/>
  <c r="G15" i="63"/>
  <c r="G27" i="63"/>
  <c r="C21" i="68" l="1"/>
  <c r="F53" i="63"/>
  <c r="F23" i="63" l="1"/>
  <c r="E27" i="68" l="1"/>
  <c r="C25" i="68" l="1"/>
  <c r="C26" i="68" s="1"/>
  <c r="C27" i="68" l="1"/>
  <c r="F27" i="68" l="1"/>
  <c r="N44" i="63"/>
  <c r="G54" i="63" l="1"/>
  <c r="G53" i="63"/>
  <c r="G52" i="63"/>
  <c r="G49" i="63"/>
  <c r="G50" i="63"/>
  <c r="G48" i="63"/>
  <c r="G45" i="63"/>
  <c r="G46" i="63"/>
  <c r="G44" i="63"/>
  <c r="F44" i="63"/>
  <c r="G28" i="63"/>
  <c r="G29" i="63"/>
  <c r="F27" i="63"/>
  <c r="G24" i="63"/>
  <c r="G25" i="63"/>
  <c r="G23" i="63"/>
  <c r="G20" i="63"/>
  <c r="G21" i="63"/>
  <c r="G19" i="63"/>
  <c r="G16" i="63"/>
  <c r="G17" i="63"/>
  <c r="G18" i="63" l="1"/>
  <c r="F15" i="63" l="1"/>
  <c r="G66" i="63"/>
  <c r="G65" i="63" s="1"/>
  <c r="P66" i="63" l="1"/>
  <c r="O67" i="63"/>
  <c r="O44" i="63"/>
  <c r="O45" i="63"/>
  <c r="O46" i="63"/>
  <c r="O48" i="63"/>
  <c r="O49" i="63"/>
  <c r="O50" i="63"/>
  <c r="O52" i="63"/>
  <c r="O53" i="63"/>
  <c r="O54" i="63"/>
  <c r="O15" i="63"/>
  <c r="P15" i="63" s="1"/>
  <c r="O16" i="63"/>
  <c r="O17" i="63"/>
  <c r="O19" i="63"/>
  <c r="O20" i="63"/>
  <c r="O21" i="63"/>
  <c r="O23" i="63"/>
  <c r="O24" i="63"/>
  <c r="O25" i="63"/>
  <c r="O27" i="63"/>
  <c r="O28" i="63"/>
  <c r="O29" i="63"/>
  <c r="O31" i="63"/>
  <c r="O32" i="63"/>
  <c r="O33" i="63"/>
  <c r="O34" i="63"/>
  <c r="O35" i="63"/>
  <c r="N67" i="63"/>
  <c r="N65" i="63" s="1"/>
  <c r="N54" i="63"/>
  <c r="N53" i="63"/>
  <c r="N52" i="63"/>
  <c r="N50" i="63"/>
  <c r="N49" i="63"/>
  <c r="N48" i="63"/>
  <c r="N46" i="63"/>
  <c r="N45" i="63"/>
  <c r="N35" i="63"/>
  <c r="N34" i="63"/>
  <c r="N33" i="63"/>
  <c r="N32" i="63"/>
  <c r="N31" i="63"/>
  <c r="N29" i="63"/>
  <c r="N28" i="63"/>
  <c r="N27" i="63"/>
  <c r="N25" i="63"/>
  <c r="N24" i="63"/>
  <c r="N23" i="63"/>
  <c r="N21" i="63"/>
  <c r="N20" i="63"/>
  <c r="N19" i="63"/>
  <c r="N16" i="63"/>
  <c r="N17" i="63"/>
  <c r="N15" i="63"/>
  <c r="G47" i="63"/>
  <c r="G51" i="63"/>
  <c r="G56" i="63"/>
  <c r="G57" i="63"/>
  <c r="G58" i="63"/>
  <c r="F54" i="63"/>
  <c r="H54" i="63" s="1"/>
  <c r="F52" i="63"/>
  <c r="F50" i="63"/>
  <c r="F49" i="63"/>
  <c r="H49" i="63" s="1"/>
  <c r="F48" i="63"/>
  <c r="H48" i="63" s="1"/>
  <c r="F46" i="63"/>
  <c r="F45" i="63"/>
  <c r="H45" i="63" s="1"/>
  <c r="F29" i="63"/>
  <c r="H29" i="63" s="1"/>
  <c r="F28" i="63"/>
  <c r="H28" i="63" s="1"/>
  <c r="F25" i="63"/>
  <c r="F24" i="63"/>
  <c r="H24" i="63" s="1"/>
  <c r="H23" i="63"/>
  <c r="F20" i="63"/>
  <c r="H20" i="63" s="1"/>
  <c r="F21" i="63"/>
  <c r="H21" i="63" s="1"/>
  <c r="F19" i="63"/>
  <c r="H19" i="63" s="1"/>
  <c r="F16" i="63"/>
  <c r="H16" i="63" s="1"/>
  <c r="F17" i="63"/>
  <c r="H17" i="63" s="1"/>
  <c r="H44" i="63"/>
  <c r="G43" i="63"/>
  <c r="G39" i="63"/>
  <c r="G38" i="63"/>
  <c r="G62" i="63" s="1"/>
  <c r="G71" i="63" s="1"/>
  <c r="G37" i="63"/>
  <c r="H27" i="63"/>
  <c r="G26" i="63"/>
  <c r="G22" i="63"/>
  <c r="H15" i="63"/>
  <c r="G14" i="63"/>
  <c r="N51" i="62"/>
  <c r="N47" i="62"/>
  <c r="N43" i="62"/>
  <c r="N30" i="62"/>
  <c r="N26" i="62"/>
  <c r="N22" i="62"/>
  <c r="N18" i="62"/>
  <c r="N14" i="62"/>
  <c r="F58" i="62"/>
  <c r="F57" i="62"/>
  <c r="F56" i="62"/>
  <c r="F51" i="62"/>
  <c r="F47" i="62"/>
  <c r="F43" i="62"/>
  <c r="F26" i="62"/>
  <c r="F22" i="62"/>
  <c r="F18" i="62"/>
  <c r="F14" i="62"/>
  <c r="H67" i="62"/>
  <c r="H66" i="62"/>
  <c r="O65" i="62"/>
  <c r="N65" i="62"/>
  <c r="G65" i="62"/>
  <c r="F65" i="62"/>
  <c r="O58" i="62"/>
  <c r="N58" i="62"/>
  <c r="G58" i="62"/>
  <c r="O57" i="62"/>
  <c r="N57" i="62"/>
  <c r="G57" i="62"/>
  <c r="O56" i="62"/>
  <c r="N56" i="62"/>
  <c r="G56" i="62"/>
  <c r="P54" i="62"/>
  <c r="H54" i="62"/>
  <c r="P53" i="62"/>
  <c r="H53" i="62"/>
  <c r="P52" i="62"/>
  <c r="H52" i="62"/>
  <c r="O51" i="62"/>
  <c r="G51" i="62"/>
  <c r="P50" i="62"/>
  <c r="H50" i="62"/>
  <c r="P49" i="62"/>
  <c r="H49" i="62"/>
  <c r="P48" i="62"/>
  <c r="H48" i="62"/>
  <c r="O47" i="62"/>
  <c r="G47" i="62"/>
  <c r="P46" i="62"/>
  <c r="H46" i="62"/>
  <c r="P45" i="62"/>
  <c r="H45" i="62"/>
  <c r="P56" i="62"/>
  <c r="H44" i="62"/>
  <c r="H56" i="62" s="1"/>
  <c r="O43" i="62"/>
  <c r="G43" i="62"/>
  <c r="O39" i="62"/>
  <c r="N39" i="62"/>
  <c r="G39" i="62"/>
  <c r="F39" i="62"/>
  <c r="F63" i="62" s="1"/>
  <c r="F71" i="62" s="1"/>
  <c r="O38" i="62"/>
  <c r="N38" i="62"/>
  <c r="G38" i="62"/>
  <c r="F38" i="62"/>
  <c r="O37" i="62"/>
  <c r="N37" i="62"/>
  <c r="N36" i="62" s="1"/>
  <c r="G37" i="62"/>
  <c r="F37" i="62"/>
  <c r="P35" i="62"/>
  <c r="P34" i="62"/>
  <c r="P33" i="62"/>
  <c r="P32" i="62"/>
  <c r="P31" i="62"/>
  <c r="O30" i="62"/>
  <c r="P29" i="62"/>
  <c r="H29" i="62"/>
  <c r="P28" i="62"/>
  <c r="H28" i="62"/>
  <c r="P27" i="62"/>
  <c r="H27" i="62"/>
  <c r="O26" i="62"/>
  <c r="G26" i="62"/>
  <c r="P25" i="62"/>
  <c r="H25" i="62"/>
  <c r="P24" i="62"/>
  <c r="H24" i="62"/>
  <c r="P23" i="62"/>
  <c r="H23" i="62"/>
  <c r="O22" i="62"/>
  <c r="G22" i="62"/>
  <c r="P21" i="62"/>
  <c r="H21" i="62"/>
  <c r="P20" i="62"/>
  <c r="H20" i="62"/>
  <c r="P19" i="62"/>
  <c r="H19" i="62"/>
  <c r="O18" i="62"/>
  <c r="G18" i="62"/>
  <c r="P17" i="62"/>
  <c r="H17" i="62"/>
  <c r="P16" i="62"/>
  <c r="P14" i="62" s="1"/>
  <c r="O14" i="62"/>
  <c r="G14" i="62"/>
  <c r="O65" i="63" l="1"/>
  <c r="P67" i="63"/>
  <c r="P65" i="63" s="1"/>
  <c r="N63" i="62"/>
  <c r="N71" i="62" s="1"/>
  <c r="P48" i="63"/>
  <c r="P52" i="63"/>
  <c r="N22" i="63"/>
  <c r="N47" i="63"/>
  <c r="N26" i="63"/>
  <c r="P22" i="62"/>
  <c r="F22" i="63"/>
  <c r="N57" i="63"/>
  <c r="P32" i="63"/>
  <c r="F43" i="63"/>
  <c r="P27" i="63"/>
  <c r="G42" i="62"/>
  <c r="O42" i="62"/>
  <c r="P58" i="62"/>
  <c r="F56" i="63"/>
  <c r="P54" i="63"/>
  <c r="F57" i="63"/>
  <c r="P35" i="63"/>
  <c r="G36" i="63"/>
  <c r="N39" i="63"/>
  <c r="P49" i="63"/>
  <c r="P44" i="63"/>
  <c r="N56" i="63"/>
  <c r="P31" i="63"/>
  <c r="N18" i="63"/>
  <c r="P20" i="63"/>
  <c r="N55" i="62"/>
  <c r="N62" i="62"/>
  <c r="N70" i="62" s="1"/>
  <c r="G63" i="63"/>
  <c r="G72" i="63" s="1"/>
  <c r="P24" i="63"/>
  <c r="F42" i="62"/>
  <c r="F55" i="62"/>
  <c r="P17" i="63"/>
  <c r="P57" i="62"/>
  <c r="O57" i="63"/>
  <c r="O63" i="62"/>
  <c r="O71" i="62" s="1"/>
  <c r="O62" i="62"/>
  <c r="O70" i="62" s="1"/>
  <c r="P29" i="63"/>
  <c r="O13" i="62"/>
  <c r="O36" i="62"/>
  <c r="H58" i="62"/>
  <c r="G62" i="62"/>
  <c r="G70" i="62" s="1"/>
  <c r="G61" i="62"/>
  <c r="G69" i="62" s="1"/>
  <c r="G13" i="62"/>
  <c r="P16" i="63"/>
  <c r="G36" i="62"/>
  <c r="H65" i="62"/>
  <c r="P34" i="63"/>
  <c r="O56" i="63"/>
  <c r="N58" i="63"/>
  <c r="F14" i="63"/>
  <c r="H53" i="63"/>
  <c r="H57" i="63" s="1"/>
  <c r="N38" i="63"/>
  <c r="P50" i="63"/>
  <c r="F26" i="63"/>
  <c r="H46" i="63"/>
  <c r="H43" i="63" s="1"/>
  <c r="N51" i="63"/>
  <c r="N30" i="63"/>
  <c r="O38" i="63"/>
  <c r="O62" i="63" s="1"/>
  <c r="O71" i="63" s="1"/>
  <c r="O39" i="63"/>
  <c r="P19" i="63"/>
  <c r="O58" i="63"/>
  <c r="P28" i="63"/>
  <c r="N43" i="63"/>
  <c r="P23" i="63"/>
  <c r="H14" i="62"/>
  <c r="O55" i="62"/>
  <c r="H25" i="63"/>
  <c r="H39" i="63" s="1"/>
  <c r="O37" i="63"/>
  <c r="O26" i="63"/>
  <c r="O22" i="63"/>
  <c r="O18" i="63"/>
  <c r="O43" i="63"/>
  <c r="H47" i="62"/>
  <c r="N14" i="63"/>
  <c r="H52" i="63"/>
  <c r="F51" i="63"/>
  <c r="N37" i="63"/>
  <c r="N61" i="63" s="1"/>
  <c r="N70" i="63" s="1"/>
  <c r="P25" i="63"/>
  <c r="P21" i="63"/>
  <c r="O14" i="63"/>
  <c r="P53" i="63"/>
  <c r="O47" i="63"/>
  <c r="H37" i="62"/>
  <c r="H61" i="62" s="1"/>
  <c r="N42" i="62"/>
  <c r="G42" i="63"/>
  <c r="P45" i="63"/>
  <c r="F58" i="63"/>
  <c r="G55" i="63"/>
  <c r="P33" i="63"/>
  <c r="O51" i="63"/>
  <c r="P46" i="63"/>
  <c r="O30" i="63"/>
  <c r="G13" i="63"/>
  <c r="F38" i="63"/>
  <c r="G61" i="63"/>
  <c r="G70" i="63" s="1"/>
  <c r="H66" i="63"/>
  <c r="H65" i="63" s="1"/>
  <c r="H50" i="63"/>
  <c r="H47" i="63" s="1"/>
  <c r="F47" i="63"/>
  <c r="F39" i="63"/>
  <c r="F18" i="63"/>
  <c r="H18" i="63"/>
  <c r="F37" i="63"/>
  <c r="H38" i="63"/>
  <c r="H14" i="63"/>
  <c r="H26" i="63"/>
  <c r="O61" i="62"/>
  <c r="O69" i="62" s="1"/>
  <c r="P18" i="62"/>
  <c r="H22" i="62"/>
  <c r="F62" i="62"/>
  <c r="F70" i="62" s="1"/>
  <c r="G55" i="62"/>
  <c r="N13" i="62"/>
  <c r="H39" i="62"/>
  <c r="H63" i="62" s="1"/>
  <c r="H71" i="62" s="1"/>
  <c r="G63" i="62"/>
  <c r="G71" i="62" s="1"/>
  <c r="H51" i="62"/>
  <c r="F13" i="62"/>
  <c r="P65" i="62"/>
  <c r="P47" i="62"/>
  <c r="P51" i="62"/>
  <c r="P26" i="62"/>
  <c r="F61" i="62"/>
  <c r="F69" i="62" s="1"/>
  <c r="H57" i="62"/>
  <c r="P38" i="62"/>
  <c r="P37" i="62"/>
  <c r="P61" i="62" s="1"/>
  <c r="P39" i="62"/>
  <c r="F36" i="62"/>
  <c r="F40" i="62" s="1"/>
  <c r="H18" i="62"/>
  <c r="H38" i="62"/>
  <c r="N61" i="62"/>
  <c r="H26" i="62"/>
  <c r="P30" i="62"/>
  <c r="P43" i="62"/>
  <c r="H43" i="62"/>
  <c r="P53" i="53"/>
  <c r="P54" i="53"/>
  <c r="P52" i="53"/>
  <c r="P49" i="53"/>
  <c r="P50" i="53"/>
  <c r="P48" i="53"/>
  <c r="P45" i="53"/>
  <c r="P46" i="53"/>
  <c r="P44" i="53"/>
  <c r="P35" i="53"/>
  <c r="P34" i="53"/>
  <c r="P33" i="53"/>
  <c r="P32" i="53"/>
  <c r="P31" i="53"/>
  <c r="P29" i="53"/>
  <c r="P28" i="53"/>
  <c r="P27" i="53"/>
  <c r="P24" i="53"/>
  <c r="P25" i="53"/>
  <c r="P23" i="53"/>
  <c r="P20" i="53"/>
  <c r="P21" i="53"/>
  <c r="P19" i="53"/>
  <c r="P16" i="53"/>
  <c r="P17" i="53"/>
  <c r="P15" i="53"/>
  <c r="H53" i="53"/>
  <c r="H54" i="53"/>
  <c r="H52" i="53"/>
  <c r="H49" i="53"/>
  <c r="H50" i="53"/>
  <c r="H48" i="53"/>
  <c r="H45" i="53"/>
  <c r="H46" i="53"/>
  <c r="H44" i="53"/>
  <c r="H28" i="53"/>
  <c r="H29" i="53"/>
  <c r="H27" i="53"/>
  <c r="G22" i="53"/>
  <c r="G18" i="53"/>
  <c r="H16" i="53"/>
  <c r="H17" i="53"/>
  <c r="H19" i="53"/>
  <c r="H20" i="53"/>
  <c r="H21" i="53"/>
  <c r="H23" i="53"/>
  <c r="H24" i="53"/>
  <c r="H25" i="53"/>
  <c r="H15" i="53"/>
  <c r="O56" i="53"/>
  <c r="O57" i="53"/>
  <c r="O58" i="53"/>
  <c r="O51" i="53"/>
  <c r="O47" i="53"/>
  <c r="O43" i="53"/>
  <c r="O37" i="53"/>
  <c r="O38" i="53"/>
  <c r="O39" i="53"/>
  <c r="O30" i="53"/>
  <c r="O26" i="53"/>
  <c r="O22" i="53"/>
  <c r="O18" i="53"/>
  <c r="O14" i="53"/>
  <c r="G56" i="53"/>
  <c r="G57" i="53"/>
  <c r="G58" i="53"/>
  <c r="G51" i="53"/>
  <c r="G47" i="53"/>
  <c r="G43" i="53"/>
  <c r="G39" i="53"/>
  <c r="G38" i="53"/>
  <c r="G37" i="53"/>
  <c r="G26" i="53"/>
  <c r="G14" i="53"/>
  <c r="N58" i="53"/>
  <c r="N57" i="53"/>
  <c r="N56" i="53"/>
  <c r="N51" i="53"/>
  <c r="N47" i="53"/>
  <c r="N43" i="53"/>
  <c r="N39" i="53"/>
  <c r="N38" i="53"/>
  <c r="N37" i="53"/>
  <c r="N26" i="53"/>
  <c r="N22" i="53"/>
  <c r="N18" i="53"/>
  <c r="N14" i="53"/>
  <c r="P51" i="63" l="1"/>
  <c r="N55" i="63"/>
  <c r="P56" i="63"/>
  <c r="N63" i="53"/>
  <c r="N72" i="53" s="1"/>
  <c r="F62" i="63"/>
  <c r="F71" i="63" s="1"/>
  <c r="P47" i="63"/>
  <c r="N62" i="63"/>
  <c r="N71" i="63" s="1"/>
  <c r="F61" i="63"/>
  <c r="F70" i="63" s="1"/>
  <c r="F55" i="63"/>
  <c r="P55" i="62"/>
  <c r="P63" i="62"/>
  <c r="P71" i="62" s="1"/>
  <c r="O61" i="63"/>
  <c r="O70" i="63" s="1"/>
  <c r="F68" i="62"/>
  <c r="P14" i="63"/>
  <c r="N62" i="53"/>
  <c r="N71" i="53" s="1"/>
  <c r="P58" i="53"/>
  <c r="O61" i="53"/>
  <c r="O70" i="53" s="1"/>
  <c r="P30" i="63"/>
  <c r="P62" i="62"/>
  <c r="P70" i="62" s="1"/>
  <c r="H18" i="53"/>
  <c r="H55" i="62"/>
  <c r="G69" i="63"/>
  <c r="N36" i="63"/>
  <c r="N61" i="53"/>
  <c r="N70" i="53" s="1"/>
  <c r="N69" i="53" s="1"/>
  <c r="O68" i="62"/>
  <c r="F42" i="63"/>
  <c r="P57" i="63"/>
  <c r="N13" i="63"/>
  <c r="P26" i="63"/>
  <c r="F59" i="62"/>
  <c r="H51" i="63"/>
  <c r="H42" i="63" s="1"/>
  <c r="H56" i="63"/>
  <c r="G60" i="63"/>
  <c r="O63" i="53"/>
  <c r="O72" i="53" s="1"/>
  <c r="P57" i="53"/>
  <c r="O62" i="53"/>
  <c r="O71" i="53" s="1"/>
  <c r="O55" i="53"/>
  <c r="P43" i="63"/>
  <c r="P30" i="53"/>
  <c r="P39" i="53"/>
  <c r="G55" i="53"/>
  <c r="H58" i="53"/>
  <c r="H43" i="53"/>
  <c r="H57" i="53"/>
  <c r="G62" i="53"/>
  <c r="G71" i="53" s="1"/>
  <c r="H22" i="53"/>
  <c r="H39" i="53"/>
  <c r="G36" i="53"/>
  <c r="O60" i="62"/>
  <c r="P42" i="62"/>
  <c r="O55" i="63"/>
  <c r="P22" i="63"/>
  <c r="P18" i="63"/>
  <c r="G60" i="62"/>
  <c r="G68" i="62"/>
  <c r="H62" i="62"/>
  <c r="H70" i="62" s="1"/>
  <c r="F63" i="63"/>
  <c r="F72" i="63" s="1"/>
  <c r="P39" i="63"/>
  <c r="P37" i="63"/>
  <c r="P38" i="63"/>
  <c r="N63" i="63"/>
  <c r="N72" i="63" s="1"/>
  <c r="N42" i="63"/>
  <c r="O63" i="63"/>
  <c r="O72" i="63" s="1"/>
  <c r="H58" i="63"/>
  <c r="F13" i="63"/>
  <c r="O36" i="63"/>
  <c r="H22" i="63"/>
  <c r="H13" i="63" s="1"/>
  <c r="N55" i="53"/>
  <c r="H42" i="62"/>
  <c r="N42" i="53"/>
  <c r="P38" i="53"/>
  <c r="P58" i="63"/>
  <c r="O13" i="63"/>
  <c r="G63" i="53"/>
  <c r="G72" i="53" s="1"/>
  <c r="O36" i="53"/>
  <c r="H38" i="53"/>
  <c r="O42" i="63"/>
  <c r="H37" i="63"/>
  <c r="H62" i="63"/>
  <c r="H71" i="63" s="1"/>
  <c r="F36" i="63"/>
  <c r="H13" i="62"/>
  <c r="H36" i="62"/>
  <c r="P13" i="62"/>
  <c r="P36" i="62"/>
  <c r="F60" i="62"/>
  <c r="N60" i="62"/>
  <c r="N69" i="62"/>
  <c r="N68" i="62" s="1"/>
  <c r="H69" i="62"/>
  <c r="P69" i="62"/>
  <c r="P51" i="53"/>
  <c r="P47" i="53"/>
  <c r="P43" i="53"/>
  <c r="P56" i="53"/>
  <c r="P26" i="53"/>
  <c r="P22" i="53"/>
  <c r="P37" i="53"/>
  <c r="P14" i="53"/>
  <c r="H51" i="53"/>
  <c r="H56" i="53"/>
  <c r="H47" i="53"/>
  <c r="H26" i="53"/>
  <c r="H37" i="53"/>
  <c r="H14" i="53"/>
  <c r="O42" i="53"/>
  <c r="O13" i="53"/>
  <c r="N13" i="53"/>
  <c r="N36" i="53"/>
  <c r="G61" i="53"/>
  <c r="G70" i="53" s="1"/>
  <c r="G42" i="53"/>
  <c r="G13" i="53"/>
  <c r="G69" i="53" l="1"/>
  <c r="O69" i="53"/>
  <c r="N69" i="63"/>
  <c r="F59" i="63"/>
  <c r="F69" i="63"/>
  <c r="P61" i="63"/>
  <c r="P70" i="63" s="1"/>
  <c r="P42" i="63"/>
  <c r="O69" i="63"/>
  <c r="P55" i="63"/>
  <c r="P68" i="62"/>
  <c r="H59" i="62"/>
  <c r="H60" i="62"/>
  <c r="P63" i="53"/>
  <c r="P72" i="53" s="1"/>
  <c r="P60" i="62"/>
  <c r="H62" i="53"/>
  <c r="H71" i="53" s="1"/>
  <c r="H55" i="63"/>
  <c r="N60" i="53"/>
  <c r="P55" i="53"/>
  <c r="P62" i="53"/>
  <c r="P71" i="53" s="1"/>
  <c r="P13" i="63"/>
  <c r="H61" i="63"/>
  <c r="H70" i="63" s="1"/>
  <c r="H63" i="63"/>
  <c r="H72" i="63" s="1"/>
  <c r="O60" i="53"/>
  <c r="F40" i="63"/>
  <c r="H42" i="53"/>
  <c r="H63" i="53"/>
  <c r="H72" i="53" s="1"/>
  <c r="H55" i="53"/>
  <c r="P36" i="53"/>
  <c r="H36" i="53"/>
  <c r="P36" i="63"/>
  <c r="H68" i="62"/>
  <c r="H40" i="62"/>
  <c r="O60" i="63"/>
  <c r="G64" i="63" s="1"/>
  <c r="P62" i="63"/>
  <c r="P71" i="63" s="1"/>
  <c r="N60" i="63"/>
  <c r="P63" i="63"/>
  <c r="P72" i="63" s="1"/>
  <c r="G60" i="53"/>
  <c r="H36" i="63"/>
  <c r="P42" i="53"/>
  <c r="P61" i="53"/>
  <c r="P70" i="53" s="1"/>
  <c r="H61" i="53"/>
  <c r="H70" i="53" s="1"/>
  <c r="H69" i="53" s="1"/>
  <c r="H13" i="53"/>
  <c r="P69" i="53" l="1"/>
  <c r="P74" i="53" s="1"/>
  <c r="H40" i="53"/>
  <c r="G64" i="53"/>
  <c r="H59" i="63"/>
  <c r="H69" i="63"/>
  <c r="H59" i="53"/>
  <c r="P60" i="53"/>
  <c r="H60" i="63"/>
  <c r="H40" i="63"/>
  <c r="F64" i="63"/>
  <c r="P69" i="63"/>
  <c r="P60" i="63"/>
  <c r="H60" i="53"/>
  <c r="H64" i="63" l="1"/>
  <c r="F37" i="53" l="1"/>
  <c r="F56" i="53"/>
  <c r="F38" i="53"/>
  <c r="F57" i="53"/>
  <c r="F39" i="53"/>
  <c r="F58" i="53"/>
  <c r="F51" i="53"/>
  <c r="F47" i="53"/>
  <c r="F43" i="53"/>
  <c r="P18" i="53"/>
  <c r="P13" i="53" s="1"/>
  <c r="F26" i="53"/>
  <c r="F22" i="53"/>
  <c r="F18" i="53"/>
  <c r="F14" i="53"/>
  <c r="F55" i="53" l="1"/>
  <c r="F59" i="53" s="1"/>
  <c r="F63" i="53"/>
  <c r="F72" i="53" s="1"/>
  <c r="F42" i="53"/>
  <c r="F36" i="53"/>
  <c r="F40" i="53" s="1"/>
  <c r="F13" i="53"/>
  <c r="F62" i="53"/>
  <c r="F71" i="53" s="1"/>
  <c r="F61" i="53"/>
  <c r="F70" i="53" s="1"/>
  <c r="F69" i="53" s="1"/>
  <c r="F60" i="53" l="1"/>
  <c r="F64" i="53" s="1"/>
</calcChain>
</file>

<file path=xl/sharedStrings.xml><?xml version="1.0" encoding="utf-8"?>
<sst xmlns="http://schemas.openxmlformats.org/spreadsheetml/2006/main" count="1209" uniqueCount="255">
  <si>
    <t>I.</t>
  </si>
  <si>
    <t>1.</t>
  </si>
  <si>
    <t>2.</t>
  </si>
  <si>
    <t>II.</t>
  </si>
  <si>
    <t>3.</t>
  </si>
  <si>
    <t>4.</t>
  </si>
  <si>
    <t>Közhatalmi bevételek</t>
  </si>
  <si>
    <t>5.</t>
  </si>
  <si>
    <t>Ellátottak pénzbeli juttatásai</t>
  </si>
  <si>
    <t>Sorszám</t>
  </si>
  <si>
    <t>Kötelező feladatok</t>
  </si>
  <si>
    <t>Önként vállalt feladatok összesen</t>
  </si>
  <si>
    <t>Állami (államigazgatási) feladatok</t>
  </si>
  <si>
    <t xml:space="preserve">Önként vállalt feladatok </t>
  </si>
  <si>
    <t>Egyéb működési célú kiadások</t>
  </si>
  <si>
    <t>Beruházások</t>
  </si>
  <si>
    <t>Felújítások</t>
  </si>
  <si>
    <t xml:space="preserve">Személyi juttatások </t>
  </si>
  <si>
    <t>Működési költségvetési kiadások összesen</t>
  </si>
  <si>
    <t>Felhalmozási költségvetési kiadások összesen</t>
  </si>
  <si>
    <t>Munkaadókat terhelő jár. és szoc. hozzájárulási adó</t>
  </si>
  <si>
    <t>Működési költségvetési kiadások</t>
  </si>
  <si>
    <t>Felhalmozási költségvetési kiadások</t>
  </si>
  <si>
    <t>Működési költségvetési bevételek összesen</t>
  </si>
  <si>
    <t>Felhalmozási költségvetési bevételek</t>
  </si>
  <si>
    <t>Felhalmozási bevételek</t>
  </si>
  <si>
    <t>Felhalmozási költségvetési bevételek összesen</t>
  </si>
  <si>
    <t xml:space="preserve"> költségvetési mérleg</t>
  </si>
  <si>
    <t>6.</t>
  </si>
  <si>
    <t>Önkormányzat bevételei mindösszesen</t>
  </si>
  <si>
    <t>Önkormányzat kiadásai mindösszesen</t>
  </si>
  <si>
    <t>Elnöki hatáskörben felhasználható keret kiemelt közoktatási, kulturális, közművelődési és sportfeladatokra</t>
  </si>
  <si>
    <t>Kötelező feladat</t>
  </si>
  <si>
    <t>Önként vállalt feladat</t>
  </si>
  <si>
    <t>Dologi kiadások</t>
  </si>
  <si>
    <t>Feladat megnevezése</t>
  </si>
  <si>
    <t>Kötelező feladat összesen</t>
  </si>
  <si>
    <t>Működési bevételek</t>
  </si>
  <si>
    <t>Eredeti előirányzat</t>
  </si>
  <si>
    <t xml:space="preserve"> </t>
  </si>
  <si>
    <t>I+II.</t>
  </si>
  <si>
    <t>Költségvetési bevételek összesen</t>
  </si>
  <si>
    <t>Finanszírozási bevételek összesen</t>
  </si>
  <si>
    <t>Költségvetési kiadások összesen</t>
  </si>
  <si>
    <t>III.</t>
  </si>
  <si>
    <t>I-III</t>
  </si>
  <si>
    <t xml:space="preserve">Működési költségvetési bevételek </t>
  </si>
  <si>
    <t xml:space="preserve">I. MŰKÖDÉSI KÖLTSÉGVETÉS </t>
  </si>
  <si>
    <t>Bevételi előirányzatok</t>
  </si>
  <si>
    <t>Kiadási előirányzatok</t>
  </si>
  <si>
    <t>(bevételi előirányzatok és kiadási előirányzatok kiemelt előirányzatok szerinti bontásban)</t>
  </si>
  <si>
    <t xml:space="preserve">II. FELHALMOZÁSI KÖLTSÉGVETÉS </t>
  </si>
  <si>
    <t>Működési célú átvett pénzeszközök</t>
  </si>
  <si>
    <t>Működési célú támogatások államháztartáson belülről</t>
  </si>
  <si>
    <t>Felhalmozási célú átvett pénzeszközök</t>
  </si>
  <si>
    <r>
      <t>Felhalmozási célú támogatás</t>
    </r>
    <r>
      <rPr>
        <b/>
        <sz val="10"/>
        <rFont val="Times New Roman"/>
        <family val="1"/>
        <charset val="238"/>
      </rPr>
      <t>ok</t>
    </r>
    <r>
      <rPr>
        <b/>
        <sz val="11"/>
        <rFont val="Times New Roman"/>
        <family val="1"/>
        <charset val="238"/>
      </rPr>
      <t xml:space="preserve"> államháztartáson belülről</t>
    </r>
  </si>
  <si>
    <t>Finanszírozási kiadások összesen</t>
  </si>
  <si>
    <t>K1</t>
  </si>
  <si>
    <t>K2</t>
  </si>
  <si>
    <t>K3</t>
  </si>
  <si>
    <t>K4</t>
  </si>
  <si>
    <t>K5</t>
  </si>
  <si>
    <t>B1</t>
  </si>
  <si>
    <t>K6</t>
  </si>
  <si>
    <t>K7</t>
  </si>
  <si>
    <t>K8</t>
  </si>
  <si>
    <t>Egyéb felhalmozási célú kiadások</t>
  </si>
  <si>
    <t>K6+K7+K8</t>
  </si>
  <si>
    <t>K9</t>
  </si>
  <si>
    <t>K1-K9</t>
  </si>
  <si>
    <t>B1-B8</t>
  </si>
  <si>
    <t>Költségvetési bevételek és kiadások egyenlege (hiány)</t>
  </si>
  <si>
    <t>Költségvetési bevételek és kiadások egyenlege (többlet)</t>
  </si>
  <si>
    <t>B8</t>
  </si>
  <si>
    <t>B2</t>
  </si>
  <si>
    <t>B3</t>
  </si>
  <si>
    <t>B4</t>
  </si>
  <si>
    <t>B5</t>
  </si>
  <si>
    <t>B6</t>
  </si>
  <si>
    <t>B7</t>
  </si>
  <si>
    <t xml:space="preserve">K1+K2+K3+K4+K5   </t>
  </si>
  <si>
    <t xml:space="preserve">B1+B3+B4+B6                   </t>
  </si>
  <si>
    <t>B2+B5+B7</t>
  </si>
  <si>
    <t>K1-K8</t>
  </si>
  <si>
    <t>B1-B7</t>
  </si>
  <si>
    <t>Maradvány igénybevétele</t>
  </si>
  <si>
    <t>Államháztartáson belüli megelőlegezések</t>
  </si>
  <si>
    <t>Államháztartáson belüli megelőlegezés visszafizetése</t>
  </si>
  <si>
    <t>Irányító szervi támogatás folyósítása</t>
  </si>
  <si>
    <t>7.</t>
  </si>
  <si>
    <t>EI.Csop.</t>
  </si>
  <si>
    <t>Kötelező és önként vállalt feladat összesen</t>
  </si>
  <si>
    <t>1.a</t>
  </si>
  <si>
    <t>1.b</t>
  </si>
  <si>
    <t xml:space="preserve">    - ebből általános tartalék</t>
  </si>
  <si>
    <t xml:space="preserve">    - ebből céltartalék</t>
  </si>
  <si>
    <t>Költségvetési működési bevételek és kiadások egyenlege (hiány)</t>
  </si>
  <si>
    <t>Költségvetési működési bevételek és kiadások egyenlege (többlet)</t>
  </si>
  <si>
    <t>Költségvetési felhalmozási bevételek és kiadások egyenlege (hiány)</t>
  </si>
  <si>
    <t>Költségvetési felhalmozási bevételek és kiadások egyenlege (többlet)</t>
  </si>
  <si>
    <t>Működési célú támogatások államháztartáson belülre</t>
  </si>
  <si>
    <t>Működési célú támogatások államháztartáson kívülre</t>
  </si>
  <si>
    <t>Működési célú támogatások államháztartáson belülre kötelező feladatra összesen</t>
  </si>
  <si>
    <t>Működési célú támogatások államháztartáson kívülre önként vállalt feladatra összesen</t>
  </si>
  <si>
    <t>Módosított előirányzat</t>
  </si>
  <si>
    <t>Pályázat</t>
  </si>
  <si>
    <t>Bevétel</t>
  </si>
  <si>
    <t>Kiadás</t>
  </si>
  <si>
    <t>Önerő</t>
  </si>
  <si>
    <t>Címe</t>
  </si>
  <si>
    <t>Azonosító</t>
  </si>
  <si>
    <t>Működési</t>
  </si>
  <si>
    <t>Felhal-mozási</t>
  </si>
  <si>
    <t>Maradvány igénybevétel</t>
  </si>
  <si>
    <t>Összesen</t>
  </si>
  <si>
    <t xml:space="preserve">Működési </t>
  </si>
  <si>
    <t>EU-s forrásból</t>
  </si>
  <si>
    <t>Bevételek - EU-s forrás</t>
  </si>
  <si>
    <t>Költségvetés</t>
  </si>
  <si>
    <t>Kiemelt előirányzat</t>
  </si>
  <si>
    <t>Maradvány</t>
  </si>
  <si>
    <t>Önkormányzat</t>
  </si>
  <si>
    <t>Hivatal</t>
  </si>
  <si>
    <t>Mindösszesen</t>
  </si>
  <si>
    <t>Kiadások</t>
  </si>
  <si>
    <t>Személyi</t>
  </si>
  <si>
    <t>Járulék</t>
  </si>
  <si>
    <t>Dologi</t>
  </si>
  <si>
    <t>Támogatás, tartalék</t>
  </si>
  <si>
    <t>11.</t>
  </si>
  <si>
    <t>12.</t>
  </si>
  <si>
    <t>13.</t>
  </si>
  <si>
    <t>14.</t>
  </si>
  <si>
    <t>15.</t>
  </si>
  <si>
    <t>Intenzitás</t>
  </si>
  <si>
    <t>európai uniós forrásból finanszírozott támogatással megvalósuló projektek bevételei és kiadásai</t>
  </si>
  <si>
    <t>európai uniós forrásból finanszírozott támogatással megvalósuló projektek bevételei - részletes költségvetés</t>
  </si>
  <si>
    <t>európai uniós forrásból finanszírozott támogatással megvalósuló projektek kiadásai - részletes költségvetés</t>
  </si>
  <si>
    <t>16.</t>
  </si>
  <si>
    <t>17.</t>
  </si>
  <si>
    <t>Jelenlegi módosítás</t>
  </si>
  <si>
    <t>Módosított előírányzat</t>
  </si>
  <si>
    <t>összevont költségvetési mérleg</t>
  </si>
  <si>
    <t>EFOP - Csökmő</t>
  </si>
  <si>
    <t>EFOP-1.5.3-16-2017-00023</t>
  </si>
  <si>
    <t>EFOP-1.5.3-16-2017-00014</t>
  </si>
  <si>
    <t>EFOP - Hajdúböszörmény</t>
  </si>
  <si>
    <t>Önkormányzati Hivatal bevételei mindösszesen</t>
  </si>
  <si>
    <t>Önkormányzati Hivatal kiadásai mindösszesen</t>
  </si>
  <si>
    <t>10.</t>
  </si>
  <si>
    <t>Működési támogatás</t>
  </si>
  <si>
    <t>B1 rovat</t>
  </si>
  <si>
    <t>B6 rovat</t>
  </si>
  <si>
    <t>8.</t>
  </si>
  <si>
    <t>9.</t>
  </si>
  <si>
    <t>(Ft)</t>
  </si>
  <si>
    <t>( Ft)</t>
  </si>
  <si>
    <t>Europe Direct Hajdú-Bihar</t>
  </si>
  <si>
    <t>TOP-1.5.1-20-2020-00013</t>
  </si>
  <si>
    <t>2021-27 tervezés előkészítése</t>
  </si>
  <si>
    <t>Foglalkoztatási Paktum Plusz</t>
  </si>
  <si>
    <t>TOP_PLUSZ-3.1.1-21-HB1-2022-00001</t>
  </si>
  <si>
    <t>Hajdú-Bihar Vármegye Önkormányzata</t>
  </si>
  <si>
    <t>Hajdú-Bihar Vármegyei Önkormányzati Hivatal</t>
  </si>
  <si>
    <t>Hajdú-Bihar Vármegye Önkormányzata európai uniós projektjei</t>
  </si>
  <si>
    <t>EXPRESS</t>
  </si>
  <si>
    <t>01C0136</t>
  </si>
  <si>
    <t>GOCORE</t>
  </si>
  <si>
    <t>01C0041</t>
  </si>
  <si>
    <t>SYSTOUR</t>
  </si>
  <si>
    <t>01C0279</t>
  </si>
  <si>
    <t>WEEEWaste</t>
  </si>
  <si>
    <t>01C0027</t>
  </si>
  <si>
    <t>More than a village</t>
  </si>
  <si>
    <t>CE0100085</t>
  </si>
  <si>
    <t>Hajdú-Bihar Vármegye Önkormányzata európai uniós projektjei összesen</t>
  </si>
  <si>
    <t>önként vállalt feladatai</t>
  </si>
  <si>
    <t>Megyei Önkormányzatok Országos Szövetsége tagdíj</t>
  </si>
  <si>
    <t>Tisza-Tó Térségi Fejlesztési Tanács tagdíj</t>
  </si>
  <si>
    <t>Hajdú-Bihar Megyei Vásárszövetség tagdíj</t>
  </si>
  <si>
    <t>Elismerésekkel, kitüntetésekkel járó pénzjutalom</t>
  </si>
  <si>
    <t>Hajdú-Bihar Vármegye Cigány Területi Nemzetiségi Önkormányzata támogatása</t>
  </si>
  <si>
    <t>Hajdú-Bihar Vármegye Román Területi Nemzetiségi Önkormányzata támogatása</t>
  </si>
  <si>
    <t>Miniszterelnökség - EFOP-1.5.3 Csökmő pályázat fel nem használt támogatás visszautalása</t>
  </si>
  <si>
    <t>Miniszterelnökség - EFOP-1.5.3 Hajdúböszörmény pályázat fel nem használt támogatás visszautalása</t>
  </si>
  <si>
    <t>OpenRegioCulture</t>
  </si>
  <si>
    <t>02C0467</t>
  </si>
  <si>
    <t>SReST</t>
  </si>
  <si>
    <t>DRP0200445</t>
  </si>
  <si>
    <t>Felhalmozási támogatás</t>
  </si>
  <si>
    <t>B2 rovat</t>
  </si>
  <si>
    <t>B7 rovat</t>
  </si>
  <si>
    <t>Helyi humán fejlesztések</t>
  </si>
  <si>
    <t>TOP_PLUSZ-3.1.3-23-HB2-2023-00001</t>
  </si>
  <si>
    <t>2025. évi költségvetés módosítása</t>
  </si>
  <si>
    <t>(1. melléklet az 1/2025. (II. 24.) önkormányzati rendelethez)</t>
  </si>
  <si>
    <t>1. melléklet a  .../2025. (...) önkormányzati rendelethez</t>
  </si>
  <si>
    <t>6. melléklet a .../2025. (...) önkormányzati rendelethez</t>
  </si>
  <si>
    <t>(6. melléklet az 1/2025. (II. 24.) önkormányzati rendelethez)</t>
  </si>
  <si>
    <t>2. melléklet a  .../2025. (...) önkormányzati rendelethez</t>
  </si>
  <si>
    <t>(2. melléklet az 1/2025. (II. 24.) önkormányzati rendelethez)</t>
  </si>
  <si>
    <t>3. melléklet a  .../2025. (...) önkormányzati rendelethez</t>
  </si>
  <si>
    <t>(3. melléklet az 1/2025. (II. 24.) önkormányzati rendelethez)</t>
  </si>
  <si>
    <t>4. melléklet a .../2025. (...) önkormányzati rendelethez</t>
  </si>
  <si>
    <t>(4. melléklet az 1/2025. (II. 24.) önkormányzati rendelethez)</t>
  </si>
  <si>
    <t>5. melléklet a .../2025. (...) önkormányzati rendelethez</t>
  </si>
  <si>
    <t>(5. melléklet az 1/2025. (II. 24.) önkormányzati rendelethez)</t>
  </si>
  <si>
    <t>7. melléklet a .../2025. (...) önkormányzati rendelethez</t>
  </si>
  <si>
    <t>(7. melléklet az 1/2025. (II. 24.) önkormányzati rendelethez)</t>
  </si>
  <si>
    <t>8. melléklet a .../2025. (...) önkormányzati rendelethez</t>
  </si>
  <si>
    <t>(8. melléklet az 1/2025. (II. 24.) önkormányzati rendelethez)</t>
  </si>
  <si>
    <t>Közigazgatási és Területfejlesztési Minisztérium - 2021-2027 tervezés előkészítése pályázat fel nem használt támogatás visszautalása</t>
  </si>
  <si>
    <t>FLAVOR</t>
  </si>
  <si>
    <t>03C0707</t>
  </si>
  <si>
    <t>RENEW (Energetika)</t>
  </si>
  <si>
    <t>ROHU00617</t>
  </si>
  <si>
    <t>CULTURAL LIVING LAB (Kultúra)</t>
  </si>
  <si>
    <t>ROHU00618</t>
  </si>
  <si>
    <t>Aktív turizmus fejlesztése Hajdú-Bihar Vármegyében</t>
  </si>
  <si>
    <t>TOP_PLUSZ-6.1.4-23-HB2-2024-00001</t>
  </si>
  <si>
    <t>Beruházás</t>
  </si>
  <si>
    <t>Közigazgatási és Területfejlesztési Minisztárium - 2024. évi önkormányzati választással összefüggésben felmerült többletkiadások támogatása fel nem használt támogatás visszautalása</t>
  </si>
  <si>
    <t>Belföldi értékapírok kiadásai</t>
  </si>
  <si>
    <t>Belföldi értékpapírok bevételei</t>
  </si>
  <si>
    <t>9. melléklet a …/2025. (…) önkormányzati rendelethez</t>
  </si>
  <si>
    <t>beruházások, felújítások kiadásai beruházásonként</t>
  </si>
  <si>
    <t>F   e  l  a  d  a t</t>
  </si>
  <si>
    <t>Hajdú-Bihar Vármegye Önkormányzata felhalmozási kiadások</t>
  </si>
  <si>
    <t>Kis- és nagyértékű tárgyi eszközök, informatikai eszközök, irodai bútorok beszerzése</t>
  </si>
  <si>
    <t>Közgyűlési tagok részére laptop/táblagép beszerzés</t>
  </si>
  <si>
    <t>Személygépjármű beszerzés (1 db)</t>
  </si>
  <si>
    <t>Foglalkoztatási Paktum Plusz pályázat eszközbeszerzés (tárgyi, informatikai eszközök, immateriális javak)</t>
  </si>
  <si>
    <t>Helyi humán fejlesztések pályázat eszközbeszerzés (tárgyi, informatikai eszközök, immateriális javak)</t>
  </si>
  <si>
    <t>Aktív turizmus fejlesztése Hajdú-Bihar Vármegyében pályázat eszközbeszerzés</t>
  </si>
  <si>
    <t>FLAVOR pályázat eszközbeszerzés</t>
  </si>
  <si>
    <t>RENEW (energetika) pályázat Debrecen, Piac utca 71. ingatlan energetikai korszerűsítése</t>
  </si>
  <si>
    <t>RENEW (energetika) pályázat 2 db elektromos jármű beszerzése, elektromos töltő tervezése, beszerzése, kiépítése</t>
  </si>
  <si>
    <t>CULTURAL LIVING LAB (kultúra) pályázat építési telek beszerzése</t>
  </si>
  <si>
    <t>CULTURAL LIVING LAB (kultúra) pályázat könnyűszerkezetes csarnok épület tervezése és kivitelezése</t>
  </si>
  <si>
    <t>CULTURAL LIVING LAB (kultúra) pályázat 1 db személy- és áruszállító, 1 db terepjáró gépjármű beszerzése</t>
  </si>
  <si>
    <t>CULTURAL LIVING LAB (kultúra) pályázat eszközbeszerzés (mobil színpad, digitális tábla, fényképezőgép)</t>
  </si>
  <si>
    <t>Hajdú-Bihar Vármegye Önkormányzata felhalmozási kiadások összesen</t>
  </si>
  <si>
    <t>Hajdú-Bihar Vármegyei Önkormányzati Hivatal felhalmozási kiadások</t>
  </si>
  <si>
    <t>Kis- és nagyértékű tárgyi eszközök, informatikai eszközök, irodabútorok beszerzése</t>
  </si>
  <si>
    <t>Hajdú-Bihar Vármegyei Önkormányzati Hivatal felhalmozási kiadások összesen</t>
  </si>
  <si>
    <t>Felhalmozási kiadások mindösszesen</t>
  </si>
  <si>
    <t>2025. szeptember 26.</t>
  </si>
  <si>
    <t>(9. melléklet az 1/2025. (II. 24.) önkormányzati rendelethez)</t>
  </si>
  <si>
    <t>Tisza-Tó Fejlesztési Tanács tagdíj</t>
  </si>
  <si>
    <t>Vármegye Napja rendezvény</t>
  </si>
  <si>
    <t>Versenyképes Járások Program pályázat eszközbeszerzései</t>
  </si>
  <si>
    <r>
      <t xml:space="preserve">CULTURAL LIVING LAB (kultúra) pályázat </t>
    </r>
    <r>
      <rPr>
        <sz val="11"/>
        <rFont val="Times New Roman"/>
        <family val="1"/>
        <charset val="238"/>
      </rPr>
      <t>könnyűszerkezetes csarnok épület tervezése és kivitelezése (saját forrás)</t>
    </r>
  </si>
  <si>
    <t>működési célú támogatások, kölcsönök államháztartáson belülre és kívülre</t>
  </si>
  <si>
    <t>Kiem.EI</t>
  </si>
  <si>
    <t>Hajdú-Bihar Vármegyei Fejlesztési Ügynökség Nkft. részére nyújtott tagi kölcsön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</si>
</sst>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2"/>
      <name val="Times"/>
      <family val="1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6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28"/>
      <color rgb="FFFF0000"/>
      <name val="Times New Roman"/>
      <family val="1"/>
      <charset val="238"/>
    </font>
    <font>
      <sz val="11.5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4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sz val="11.5"/>
      <color theme="1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b/>
      <sz val="10.5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1" fillId="0" borderId="0"/>
    <xf numFmtId="0" fontId="11" fillId="0" borderId="0"/>
    <xf numFmtId="0" fontId="1" fillId="0" borderId="0"/>
  </cellStyleXfs>
  <cellXfs count="563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3" fontId="6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Continuous" shrinkToFit="1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shrinkToFit="1"/>
    </xf>
    <xf numFmtId="3" fontId="7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22" fillId="0" borderId="0" xfId="0" applyFont="1" applyAlignment="1">
      <alignment shrinkToFi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3" fontId="6" fillId="0" borderId="15" xfId="0" applyNumberFormat="1" applyFont="1" applyBorder="1" applyAlignment="1">
      <alignment vertical="center"/>
    </xf>
    <xf numFmtId="164" fontId="6" fillId="0" borderId="4" xfId="7" applyNumberFormat="1" applyFont="1" applyBorder="1" applyAlignment="1">
      <alignment horizontal="center" vertical="center"/>
    </xf>
    <xf numFmtId="3" fontId="23" fillId="0" borderId="4" xfId="0" applyNumberFormat="1" applyFont="1" applyBorder="1" applyAlignment="1">
      <alignment vertical="center"/>
    </xf>
    <xf numFmtId="0" fontId="9" fillId="0" borderId="0" xfId="2" applyFont="1"/>
    <xf numFmtId="0" fontId="5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2" applyFont="1" applyAlignment="1">
      <alignment horizontal="right"/>
    </xf>
    <xf numFmtId="0" fontId="12" fillId="0" borderId="50" xfId="0" applyFont="1" applyBorder="1" applyAlignment="1">
      <alignment horizontal="left" vertical="center"/>
    </xf>
    <xf numFmtId="0" fontId="6" fillId="2" borderId="13" xfId="7" applyFont="1" applyFill="1" applyBorder="1" applyAlignment="1">
      <alignment horizontal="center" vertical="center"/>
    </xf>
    <xf numFmtId="164" fontId="6" fillId="2" borderId="4" xfId="7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Continuous"/>
    </xf>
    <xf numFmtId="3" fontId="6" fillId="0" borderId="23" xfId="2" applyNumberFormat="1" applyFont="1" applyBorder="1" applyAlignment="1">
      <alignment vertical="center"/>
    </xf>
    <xf numFmtId="3" fontId="6" fillId="0" borderId="17" xfId="2" applyNumberFormat="1" applyFont="1" applyBorder="1" applyAlignment="1">
      <alignment vertical="center"/>
    </xf>
    <xf numFmtId="3" fontId="6" fillId="0" borderId="4" xfId="2" applyNumberFormat="1" applyFont="1" applyBorder="1" applyAlignment="1">
      <alignment vertical="center"/>
    </xf>
    <xf numFmtId="3" fontId="6" fillId="0" borderId="7" xfId="2" applyNumberFormat="1" applyFont="1" applyBorder="1" applyAlignment="1">
      <alignment vertical="center"/>
    </xf>
    <xf numFmtId="3" fontId="6" fillId="0" borderId="19" xfId="2" applyNumberFormat="1" applyFont="1" applyBorder="1" applyAlignment="1">
      <alignment vertical="center"/>
    </xf>
    <xf numFmtId="3" fontId="6" fillId="0" borderId="25" xfId="2" applyNumberFormat="1" applyFont="1" applyBorder="1" applyAlignment="1">
      <alignment vertical="center"/>
    </xf>
    <xf numFmtId="3" fontId="6" fillId="0" borderId="5" xfId="2" applyNumberFormat="1" applyFont="1" applyBorder="1" applyAlignment="1">
      <alignment vertical="center"/>
    </xf>
    <xf numFmtId="3" fontId="6" fillId="0" borderId="33" xfId="2" applyNumberFormat="1" applyFont="1" applyBorder="1" applyAlignment="1">
      <alignment vertical="center"/>
    </xf>
    <xf numFmtId="3" fontId="6" fillId="0" borderId="15" xfId="2" applyNumberFormat="1" applyFont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3" fontId="23" fillId="2" borderId="4" xfId="0" applyNumberFormat="1" applyFont="1" applyFill="1" applyBorder="1" applyAlignment="1">
      <alignment vertical="center"/>
    </xf>
    <xf numFmtId="3" fontId="23" fillId="2" borderId="7" xfId="0" applyNumberFormat="1" applyFont="1" applyFill="1" applyBorder="1" applyAlignment="1">
      <alignment vertical="center"/>
    </xf>
    <xf numFmtId="3" fontId="23" fillId="2" borderId="15" xfId="0" applyNumberFormat="1" applyFont="1" applyFill="1" applyBorder="1" applyAlignment="1">
      <alignment vertical="center"/>
    </xf>
    <xf numFmtId="0" fontId="23" fillId="0" borderId="0" xfId="2" applyFont="1"/>
    <xf numFmtId="0" fontId="5" fillId="0" borderId="0" xfId="2" applyFont="1"/>
    <xf numFmtId="0" fontId="6" fillId="0" borderId="0" xfId="2" applyFont="1"/>
    <xf numFmtId="0" fontId="27" fillId="0" borderId="0" xfId="2" applyFont="1"/>
    <xf numFmtId="3" fontId="7" fillId="0" borderId="0" xfId="0" applyNumberFormat="1" applyFont="1"/>
    <xf numFmtId="0" fontId="2" fillId="0" borderId="0" xfId="0" applyFont="1"/>
    <xf numFmtId="0" fontId="7" fillId="0" borderId="0" xfId="2" applyFont="1"/>
    <xf numFmtId="0" fontId="8" fillId="0" borderId="0" xfId="0" applyFont="1" applyAlignment="1">
      <alignment horizontal="right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0" xfId="0" applyNumberFormat="1" applyFont="1" applyFill="1" applyBorder="1" applyAlignment="1">
      <alignment horizontal="right" vertical="center"/>
    </xf>
    <xf numFmtId="3" fontId="5" fillId="3" borderId="61" xfId="0" applyNumberFormat="1" applyFont="1" applyFill="1" applyBorder="1" applyAlignment="1">
      <alignment horizontal="right" vertical="center"/>
    </xf>
    <xf numFmtId="3" fontId="5" fillId="3" borderId="63" xfId="0" applyNumberFormat="1" applyFont="1" applyFill="1" applyBorder="1" applyAlignment="1">
      <alignment horizontal="right" vertical="center"/>
    </xf>
    <xf numFmtId="3" fontId="5" fillId="3" borderId="62" xfId="0" applyNumberFormat="1" applyFont="1" applyFill="1" applyBorder="1" applyAlignment="1">
      <alignment horizontal="right" vertical="center"/>
    </xf>
    <xf numFmtId="3" fontId="5" fillId="0" borderId="50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26" fillId="3" borderId="4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0" fontId="5" fillId="3" borderId="8" xfId="7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vertical="center"/>
    </xf>
    <xf numFmtId="3" fontId="5" fillId="3" borderId="11" xfId="0" applyNumberFormat="1" applyFont="1" applyFill="1" applyBorder="1" applyAlignment="1">
      <alignment vertical="center"/>
    </xf>
    <xf numFmtId="3" fontId="20" fillId="3" borderId="23" xfId="2" applyNumberFormat="1" applyFont="1" applyFill="1" applyBorder="1" applyAlignment="1">
      <alignment vertical="center"/>
    </xf>
    <xf numFmtId="3" fontId="20" fillId="3" borderId="25" xfId="2" applyNumberFormat="1" applyFont="1" applyFill="1" applyBorder="1" applyAlignment="1">
      <alignment vertical="center"/>
    </xf>
    <xf numFmtId="3" fontId="5" fillId="3" borderId="8" xfId="2" applyNumberFormat="1" applyFont="1" applyFill="1" applyBorder="1"/>
    <xf numFmtId="3" fontId="5" fillId="3" borderId="11" xfId="2" applyNumberFormat="1" applyFont="1" applyFill="1" applyBorder="1"/>
    <xf numFmtId="3" fontId="5" fillId="3" borderId="8" xfId="2" applyNumberFormat="1" applyFont="1" applyFill="1" applyBorder="1" applyAlignment="1">
      <alignment horizontal="center" vertical="center" wrapText="1"/>
    </xf>
    <xf numFmtId="3" fontId="16" fillId="3" borderId="8" xfId="2" applyNumberFormat="1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3" borderId="26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 applyProtection="1">
      <alignment horizontal="right" vertical="center" wrapText="1"/>
      <protection locked="0"/>
    </xf>
    <xf numFmtId="3" fontId="12" fillId="0" borderId="22" xfId="0" applyNumberFormat="1" applyFont="1" applyBorder="1" applyAlignment="1" applyProtection="1">
      <alignment horizontal="right" vertical="center" wrapText="1"/>
      <protection locked="0"/>
    </xf>
    <xf numFmtId="3" fontId="12" fillId="0" borderId="7" xfId="0" applyNumberFormat="1" applyFont="1" applyBorder="1" applyAlignment="1" applyProtection="1">
      <alignment horizontal="right" vertical="center" wrapText="1"/>
      <protection locked="0"/>
    </xf>
    <xf numFmtId="3" fontId="9" fillId="0" borderId="4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 wrapText="1"/>
    </xf>
    <xf numFmtId="3" fontId="12" fillId="0" borderId="50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 applyProtection="1">
      <alignment horizontal="right" vertical="center" wrapText="1"/>
      <protection locked="0"/>
    </xf>
    <xf numFmtId="3" fontId="10" fillId="0" borderId="15" xfId="0" applyNumberFormat="1" applyFont="1" applyBorder="1" applyAlignment="1" applyProtection="1">
      <alignment horizontal="right" vertical="center" wrapText="1"/>
      <protection locked="0"/>
    </xf>
    <xf numFmtId="3" fontId="12" fillId="0" borderId="15" xfId="0" applyNumberFormat="1" applyFont="1" applyBorder="1" applyAlignment="1" applyProtection="1">
      <alignment horizontal="right" vertical="center" wrapText="1"/>
      <protection locked="0"/>
    </xf>
    <xf numFmtId="3" fontId="9" fillId="0" borderId="25" xfId="0" applyNumberFormat="1" applyFont="1" applyBorder="1" applyAlignment="1">
      <alignment horizontal="right" vertical="center" wrapText="1"/>
    </xf>
    <xf numFmtId="3" fontId="9" fillId="0" borderId="23" xfId="0" applyNumberFormat="1" applyFont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3" borderId="11" xfId="0" applyNumberFormat="1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right" vertical="center" wrapText="1"/>
    </xf>
    <xf numFmtId="0" fontId="24" fillId="3" borderId="8" xfId="0" applyFont="1" applyFill="1" applyBorder="1" applyAlignment="1">
      <alignment horizontal="left" vertical="center" wrapText="1"/>
    </xf>
    <xf numFmtId="0" fontId="24" fillId="3" borderId="21" xfId="0" applyFont="1" applyFill="1" applyBorder="1" applyAlignment="1">
      <alignment horizontal="left" vertical="center" wrapText="1"/>
    </xf>
    <xf numFmtId="3" fontId="25" fillId="3" borderId="11" xfId="0" applyNumberFormat="1" applyFont="1" applyFill="1" applyBorder="1" applyAlignment="1">
      <alignment horizontal="center" vertical="center" wrapText="1"/>
    </xf>
    <xf numFmtId="3" fontId="9" fillId="3" borderId="24" xfId="0" applyNumberFormat="1" applyFont="1" applyFill="1" applyBorder="1" applyAlignment="1">
      <alignment horizontal="center" vertical="center" wrapText="1"/>
    </xf>
    <xf numFmtId="3" fontId="9" fillId="3" borderId="32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 applyProtection="1">
      <alignment horizontal="right" vertical="center" wrapText="1"/>
      <protection locked="0"/>
    </xf>
    <xf numFmtId="3" fontId="24" fillId="3" borderId="11" xfId="0" applyNumberFormat="1" applyFont="1" applyFill="1" applyBorder="1" applyAlignment="1">
      <alignment horizontal="right" vertical="center" wrapText="1"/>
    </xf>
    <xf numFmtId="3" fontId="24" fillId="3" borderId="21" xfId="0" applyNumberFormat="1" applyFont="1" applyFill="1" applyBorder="1" applyAlignment="1">
      <alignment horizontal="right" vertical="center" wrapText="1"/>
    </xf>
    <xf numFmtId="3" fontId="9" fillId="3" borderId="26" xfId="0" applyNumberFormat="1" applyFont="1" applyFill="1" applyBorder="1" applyAlignment="1">
      <alignment horizontal="right" vertical="center" wrapText="1"/>
    </xf>
    <xf numFmtId="3" fontId="9" fillId="3" borderId="11" xfId="0" applyNumberFormat="1" applyFont="1" applyFill="1" applyBorder="1" applyAlignment="1">
      <alignment horizontal="right" vertical="center" wrapText="1"/>
    </xf>
    <xf numFmtId="0" fontId="24" fillId="3" borderId="8" xfId="0" applyFont="1" applyFill="1" applyBorder="1" applyAlignment="1">
      <alignment horizontal="right" vertical="center" wrapText="1"/>
    </xf>
    <xf numFmtId="3" fontId="25" fillId="3" borderId="11" xfId="0" applyNumberFormat="1" applyFont="1" applyFill="1" applyBorder="1" applyAlignment="1">
      <alignment horizontal="right" vertical="center" wrapText="1"/>
    </xf>
    <xf numFmtId="3" fontId="9" fillId="3" borderId="24" xfId="0" applyNumberFormat="1" applyFont="1" applyFill="1" applyBorder="1" applyAlignment="1">
      <alignment horizontal="right" vertical="center" wrapText="1"/>
    </xf>
    <xf numFmtId="3" fontId="9" fillId="3" borderId="32" xfId="0" applyNumberFormat="1" applyFont="1" applyFill="1" applyBorder="1" applyAlignment="1">
      <alignment horizontal="right" vertical="center" wrapText="1"/>
    </xf>
    <xf numFmtId="3" fontId="9" fillId="3" borderId="63" xfId="0" applyNumberFormat="1" applyFont="1" applyFill="1" applyBorder="1" applyAlignment="1">
      <alignment horizontal="right" vertical="center" wrapText="1"/>
    </xf>
    <xf numFmtId="0" fontId="24" fillId="3" borderId="63" xfId="0" applyFont="1" applyFill="1" applyBorder="1" applyAlignment="1">
      <alignment horizontal="right" vertical="center" wrapText="1"/>
    </xf>
    <xf numFmtId="3" fontId="24" fillId="3" borderId="61" xfId="0" applyNumberFormat="1" applyFont="1" applyFill="1" applyBorder="1" applyAlignment="1">
      <alignment horizontal="right" vertical="center" wrapText="1"/>
    </xf>
    <xf numFmtId="3" fontId="25" fillId="3" borderId="65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0" fontId="23" fillId="2" borderId="0" xfId="0" applyFont="1" applyFill="1"/>
    <xf numFmtId="0" fontId="6" fillId="0" borderId="13" xfId="7" applyFont="1" applyBorder="1" applyAlignment="1">
      <alignment horizontal="center" vertical="center"/>
    </xf>
    <xf numFmtId="3" fontId="9" fillId="3" borderId="24" xfId="2" applyNumberFormat="1" applyFont="1" applyFill="1" applyBorder="1" applyAlignment="1">
      <alignment horizontal="center" vertical="center" wrapText="1"/>
    </xf>
    <xf numFmtId="0" fontId="6" fillId="0" borderId="4" xfId="7" applyFont="1" applyBorder="1" applyAlignment="1">
      <alignment horizontal="center" vertical="center"/>
    </xf>
    <xf numFmtId="3" fontId="6" fillId="2" borderId="23" xfId="2" applyNumberFormat="1" applyFont="1" applyFill="1" applyBorder="1" applyAlignment="1">
      <alignment vertical="center"/>
    </xf>
    <xf numFmtId="3" fontId="6" fillId="2" borderId="17" xfId="2" applyNumberFormat="1" applyFont="1" applyFill="1" applyBorder="1" applyAlignment="1">
      <alignment vertical="center"/>
    </xf>
    <xf numFmtId="0" fontId="6" fillId="2" borderId="0" xfId="2" applyFont="1" applyFill="1"/>
    <xf numFmtId="3" fontId="6" fillId="2" borderId="19" xfId="2" applyNumberFormat="1" applyFont="1" applyFill="1" applyBorder="1" applyAlignment="1">
      <alignment vertical="center"/>
    </xf>
    <xf numFmtId="0" fontId="8" fillId="3" borderId="23" xfId="7" applyFont="1" applyFill="1" applyBorder="1" applyAlignment="1">
      <alignment horizontal="center" vertical="center"/>
    </xf>
    <xf numFmtId="3" fontId="20" fillId="3" borderId="17" xfId="2" applyNumberFormat="1" applyFont="1" applyFill="1" applyBorder="1" applyAlignment="1">
      <alignment vertical="center"/>
    </xf>
    <xf numFmtId="0" fontId="5" fillId="3" borderId="4" xfId="7" applyFont="1" applyFill="1" applyBorder="1" applyAlignment="1">
      <alignment horizontal="center" vertical="center"/>
    </xf>
    <xf numFmtId="3" fontId="20" fillId="3" borderId="19" xfId="2" applyNumberFormat="1" applyFont="1" applyFill="1" applyBorder="1" applyAlignment="1">
      <alignment vertical="center"/>
    </xf>
    <xf numFmtId="3" fontId="6" fillId="2" borderId="33" xfId="2" applyNumberFormat="1" applyFont="1" applyFill="1" applyBorder="1" applyAlignment="1">
      <alignment vertical="center"/>
    </xf>
    <xf numFmtId="3" fontId="6" fillId="2" borderId="4" xfId="2" applyNumberFormat="1" applyFont="1" applyFill="1" applyBorder="1" applyAlignment="1">
      <alignment vertical="center"/>
    </xf>
    <xf numFmtId="3" fontId="6" fillId="2" borderId="5" xfId="2" applyNumberFormat="1" applyFont="1" applyFill="1" applyBorder="1" applyAlignment="1">
      <alignment vertical="center"/>
    </xf>
    <xf numFmtId="0" fontId="5" fillId="3" borderId="25" xfId="7" applyFont="1" applyFill="1" applyBorder="1" applyAlignment="1">
      <alignment horizontal="center" vertical="center"/>
    </xf>
    <xf numFmtId="0" fontId="5" fillId="3" borderId="24" xfId="7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>
      <alignment horizontal="right" vertical="center"/>
    </xf>
    <xf numFmtId="3" fontId="10" fillId="2" borderId="50" xfId="0" applyNumberFormat="1" applyFont="1" applyFill="1" applyBorder="1" applyAlignment="1">
      <alignment horizontal="right" vertical="center"/>
    </xf>
    <xf numFmtId="0" fontId="6" fillId="0" borderId="4" xfId="7" applyFont="1" applyBorder="1" applyAlignment="1">
      <alignment horizontal="center" vertical="center" wrapText="1"/>
    </xf>
    <xf numFmtId="0" fontId="13" fillId="2" borderId="4" xfId="7" applyFont="1" applyFill="1" applyBorder="1" applyAlignment="1">
      <alignment horizontal="center" vertical="center"/>
    </xf>
    <xf numFmtId="0" fontId="13" fillId="2" borderId="4" xfId="7" applyFont="1" applyFill="1" applyBorder="1" applyAlignment="1">
      <alignment horizontal="center" vertical="center" wrapText="1"/>
    </xf>
    <xf numFmtId="0" fontId="6" fillId="0" borderId="33" xfId="7" applyFont="1" applyBorder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0" fontId="6" fillId="2" borderId="33" xfId="7" applyFont="1" applyFill="1" applyBorder="1" applyAlignment="1">
      <alignment horizontal="center" vertical="center"/>
    </xf>
    <xf numFmtId="0" fontId="6" fillId="2" borderId="18" xfId="7" applyFont="1" applyFill="1" applyBorder="1" applyAlignment="1">
      <alignment horizontal="center" vertical="center"/>
    </xf>
    <xf numFmtId="0" fontId="6" fillId="0" borderId="18" xfId="7" applyFont="1" applyBorder="1" applyAlignment="1">
      <alignment horizontal="center" vertical="center"/>
    </xf>
    <xf numFmtId="3" fontId="5" fillId="3" borderId="65" xfId="0" applyNumberFormat="1" applyFont="1" applyFill="1" applyBorder="1" applyAlignment="1">
      <alignment vertical="center"/>
    </xf>
    <xf numFmtId="0" fontId="32" fillId="4" borderId="0" xfId="0" applyFont="1" applyFill="1" applyAlignment="1">
      <alignment horizontal="center"/>
    </xf>
    <xf numFmtId="0" fontId="5" fillId="4" borderId="0" xfId="0" applyFont="1" applyFill="1" applyAlignment="1">
      <alignment vertical="center" shrinkToFit="1"/>
    </xf>
    <xf numFmtId="0" fontId="33" fillId="0" borderId="0" xfId="0" applyFont="1" applyAlignment="1">
      <alignment shrinkToFit="1"/>
    </xf>
    <xf numFmtId="3" fontId="6" fillId="0" borderId="5" xfId="0" applyNumberFormat="1" applyFont="1" applyBorder="1" applyAlignment="1">
      <alignment vertical="center"/>
    </xf>
    <xf numFmtId="3" fontId="6" fillId="0" borderId="67" xfId="0" applyNumberFormat="1" applyFont="1" applyBorder="1" applyAlignment="1">
      <alignment vertical="center"/>
    </xf>
    <xf numFmtId="3" fontId="5" fillId="3" borderId="69" xfId="0" applyNumberFormat="1" applyFont="1" applyFill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3" fontId="5" fillId="2" borderId="50" xfId="0" applyNumberFormat="1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6" fillId="0" borderId="5" xfId="7" applyFont="1" applyBorder="1" applyAlignment="1">
      <alignment vertical="center" shrinkToFit="1"/>
    </xf>
    <xf numFmtId="0" fontId="13" fillId="0" borderId="5" xfId="7" applyFont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/>
    </xf>
    <xf numFmtId="3" fontId="5" fillId="5" borderId="25" xfId="0" applyNumberFormat="1" applyFont="1" applyFill="1" applyBorder="1" applyAlignment="1">
      <alignment horizontal="right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right" vertical="center" wrapText="1"/>
    </xf>
    <xf numFmtId="3" fontId="9" fillId="5" borderId="7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/>
    </xf>
    <xf numFmtId="3" fontId="12" fillId="5" borderId="4" xfId="0" applyNumberFormat="1" applyFont="1" applyFill="1" applyBorder="1" applyAlignment="1">
      <alignment horizontal="right" vertical="center" wrapText="1"/>
    </xf>
    <xf numFmtId="3" fontId="12" fillId="5" borderId="7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/>
    </xf>
    <xf numFmtId="3" fontId="12" fillId="5" borderId="15" xfId="0" applyNumberFormat="1" applyFont="1" applyFill="1" applyBorder="1" applyAlignment="1">
      <alignment horizontal="right" vertical="center" wrapText="1"/>
    </xf>
    <xf numFmtId="3" fontId="12" fillId="5" borderId="9" xfId="0" applyNumberFormat="1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3" fontId="10" fillId="5" borderId="15" xfId="0" applyNumberFormat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/>
    </xf>
    <xf numFmtId="3" fontId="9" fillId="5" borderId="25" xfId="0" applyNumberFormat="1" applyFont="1" applyFill="1" applyBorder="1" applyAlignment="1">
      <alignment horizontal="right" vertical="center" wrapText="1"/>
    </xf>
    <xf numFmtId="0" fontId="5" fillId="5" borderId="16" xfId="0" applyFont="1" applyFill="1" applyBorder="1" applyAlignment="1">
      <alignment horizontal="center" vertical="center"/>
    </xf>
    <xf numFmtId="3" fontId="9" fillId="5" borderId="23" xfId="0" applyNumberFormat="1" applyFont="1" applyFill="1" applyBorder="1" applyAlignment="1">
      <alignment horizontal="right" vertical="center" wrapText="1"/>
    </xf>
    <xf numFmtId="3" fontId="9" fillId="5" borderId="17" xfId="0" applyNumberFormat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vertical="center"/>
    </xf>
    <xf numFmtId="3" fontId="5" fillId="5" borderId="2" xfId="0" applyNumberFormat="1" applyFont="1" applyFill="1" applyBorder="1" applyAlignment="1">
      <alignment vertical="center" wrapText="1"/>
    </xf>
    <xf numFmtId="0" fontId="9" fillId="5" borderId="12" xfId="0" applyFont="1" applyFill="1" applyBorder="1" applyAlignment="1">
      <alignment vertical="center"/>
    </xf>
    <xf numFmtId="3" fontId="10" fillId="5" borderId="8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center"/>
    </xf>
    <xf numFmtId="3" fontId="12" fillId="5" borderId="8" xfId="0" applyNumberFormat="1" applyFont="1" applyFill="1" applyBorder="1" applyAlignment="1">
      <alignment horizontal="right" vertical="center" wrapText="1"/>
    </xf>
    <xf numFmtId="3" fontId="5" fillId="5" borderId="12" xfId="0" applyNumberFormat="1" applyFont="1" applyFill="1" applyBorder="1" applyAlignment="1">
      <alignment vertical="center" wrapText="1"/>
    </xf>
    <xf numFmtId="3" fontId="12" fillId="5" borderId="11" xfId="0" applyNumberFormat="1" applyFont="1" applyFill="1" applyBorder="1" applyAlignment="1">
      <alignment horizontal="right" vertical="center" wrapText="1"/>
    </xf>
    <xf numFmtId="3" fontId="12" fillId="5" borderId="5" xfId="0" applyNumberFormat="1" applyFont="1" applyFill="1" applyBorder="1" applyAlignment="1">
      <alignment horizontal="right" vertical="center" wrapText="1"/>
    </xf>
    <xf numFmtId="0" fontId="5" fillId="5" borderId="20" xfId="7" applyFont="1" applyFill="1" applyBorder="1" applyAlignment="1">
      <alignment horizontal="center" vertical="center"/>
    </xf>
    <xf numFmtId="3" fontId="5" fillId="5" borderId="8" xfId="2" applyNumberFormat="1" applyFont="1" applyFill="1" applyBorder="1" applyAlignment="1">
      <alignment vertical="center"/>
    </xf>
    <xf numFmtId="3" fontId="5" fillId="5" borderId="11" xfId="2" applyNumberFormat="1" applyFont="1" applyFill="1" applyBorder="1" applyAlignment="1">
      <alignment vertical="center"/>
    </xf>
    <xf numFmtId="0" fontId="5" fillId="5" borderId="67" xfId="7" applyFont="1" applyFill="1" applyBorder="1" applyAlignment="1">
      <alignment horizontal="center" vertical="center"/>
    </xf>
    <xf numFmtId="3" fontId="5" fillId="5" borderId="15" xfId="2" applyNumberFormat="1" applyFont="1" applyFill="1" applyBorder="1" applyAlignment="1">
      <alignment vertical="center"/>
    </xf>
    <xf numFmtId="3" fontId="5" fillId="5" borderId="9" xfId="2" applyNumberFormat="1" applyFont="1" applyFill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5" fillId="5" borderId="52" xfId="0" applyNumberFormat="1" applyFont="1" applyFill="1" applyBorder="1" applyAlignment="1">
      <alignment vertical="center"/>
    </xf>
    <xf numFmtId="3" fontId="5" fillId="5" borderId="8" xfId="0" applyNumberFormat="1" applyFont="1" applyFill="1" applyBorder="1" applyAlignment="1">
      <alignment vertical="center"/>
    </xf>
    <xf numFmtId="0" fontId="6" fillId="2" borderId="3" xfId="7" applyFont="1" applyFill="1" applyBorder="1" applyAlignment="1">
      <alignment horizontal="center" vertical="center"/>
    </xf>
    <xf numFmtId="0" fontId="6" fillId="2" borderId="15" xfId="7" applyFont="1" applyFill="1" applyBorder="1" applyAlignment="1">
      <alignment horizontal="center" vertical="center" wrapText="1"/>
    </xf>
    <xf numFmtId="164" fontId="6" fillId="2" borderId="15" xfId="7" applyNumberFormat="1" applyFont="1" applyFill="1" applyBorder="1" applyAlignment="1">
      <alignment horizontal="center" vertical="center"/>
    </xf>
    <xf numFmtId="0" fontId="7" fillId="2" borderId="15" xfId="7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vertical="center"/>
    </xf>
    <xf numFmtId="3" fontId="6" fillId="2" borderId="22" xfId="0" applyNumberFormat="1" applyFont="1" applyFill="1" applyBorder="1" applyAlignment="1">
      <alignment horizontal="right" vertical="center"/>
    </xf>
    <xf numFmtId="3" fontId="6" fillId="0" borderId="4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7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2" borderId="27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3" fontId="19" fillId="0" borderId="4" xfId="0" applyNumberFormat="1" applyFont="1" applyBorder="1" applyAlignment="1" applyProtection="1">
      <alignment horizontal="right" vertical="center" wrapText="1"/>
      <protection locked="0"/>
    </xf>
    <xf numFmtId="3" fontId="23" fillId="0" borderId="0" xfId="0" applyNumberFormat="1" applyFont="1"/>
    <xf numFmtId="0" fontId="23" fillId="0" borderId="0" xfId="0" applyFont="1"/>
    <xf numFmtId="0" fontId="7" fillId="2" borderId="4" xfId="0" applyFont="1" applyFill="1" applyBorder="1" applyAlignment="1">
      <alignment horizontal="center" vertical="center"/>
    </xf>
    <xf numFmtId="0" fontId="5" fillId="3" borderId="20" xfId="2" applyFont="1" applyFill="1" applyBorder="1" applyAlignment="1">
      <alignment horizontal="center" vertical="center"/>
    </xf>
    <xf numFmtId="0" fontId="6" fillId="0" borderId="23" xfId="7" applyFont="1" applyBorder="1" applyAlignment="1">
      <alignment horizontal="center" vertical="center"/>
    </xf>
    <xf numFmtId="0" fontId="5" fillId="5" borderId="8" xfId="7" applyFont="1" applyFill="1" applyBorder="1" applyAlignment="1">
      <alignment horizontal="center" vertical="center"/>
    </xf>
    <xf numFmtId="0" fontId="6" fillId="2" borderId="23" xfId="7" applyFont="1" applyFill="1" applyBorder="1" applyAlignment="1">
      <alignment horizontal="center" vertical="center"/>
    </xf>
    <xf numFmtId="0" fontId="6" fillId="2" borderId="25" xfId="7" applyFont="1" applyFill="1" applyBorder="1" applyAlignment="1">
      <alignment horizontal="center" vertical="center"/>
    </xf>
    <xf numFmtId="3" fontId="6" fillId="0" borderId="0" xfId="2" applyNumberFormat="1" applyFont="1"/>
    <xf numFmtId="3" fontId="9" fillId="0" borderId="0" xfId="2" applyNumberFormat="1" applyFont="1" applyAlignment="1">
      <alignment horizontal="right"/>
    </xf>
    <xf numFmtId="3" fontId="5" fillId="0" borderId="0" xfId="0" applyNumberFormat="1" applyFont="1"/>
    <xf numFmtId="3" fontId="23" fillId="2" borderId="0" xfId="0" applyNumberFormat="1" applyFont="1" applyFill="1"/>
    <xf numFmtId="3" fontId="6" fillId="2" borderId="0" xfId="0" applyNumberFormat="1" applyFont="1" applyFill="1"/>
    <xf numFmtId="0" fontId="6" fillId="0" borderId="5" xfId="0" applyFont="1" applyBorder="1" applyAlignment="1">
      <alignment horizontal="left" vertical="center" shrinkToFit="1"/>
    </xf>
    <xf numFmtId="16" fontId="6" fillId="2" borderId="13" xfId="7" applyNumberFormat="1" applyFont="1" applyFill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3" fontId="6" fillId="0" borderId="7" xfId="7" applyNumberFormat="1" applyFont="1" applyBorder="1" applyAlignment="1">
      <alignment vertical="center" wrapText="1"/>
    </xf>
    <xf numFmtId="16" fontId="6" fillId="2" borderId="1" xfId="7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7" applyFont="1" applyBorder="1" applyAlignment="1">
      <alignment horizontal="left" vertical="center"/>
    </xf>
    <xf numFmtId="0" fontId="6" fillId="0" borderId="5" xfId="7" applyFont="1" applyBorder="1" applyAlignment="1">
      <alignment horizontal="left" vertical="center" wrapText="1"/>
    </xf>
    <xf numFmtId="0" fontId="6" fillId="0" borderId="4" xfId="7" applyFont="1" applyBorder="1" applyAlignment="1">
      <alignment horizontal="left" vertical="center"/>
    </xf>
    <xf numFmtId="0" fontId="6" fillId="0" borderId="18" xfId="7" applyFont="1" applyBorder="1" applyAlignment="1">
      <alignment vertical="center" wrapText="1"/>
    </xf>
    <xf numFmtId="3" fontId="5" fillId="3" borderId="32" xfId="0" applyNumberFormat="1" applyFont="1" applyFill="1" applyBorder="1" applyAlignment="1">
      <alignment vertical="center"/>
    </xf>
    <xf numFmtId="0" fontId="36" fillId="0" borderId="0" xfId="0" applyFont="1"/>
    <xf numFmtId="16" fontId="6" fillId="0" borderId="13" xfId="7" applyNumberFormat="1" applyFont="1" applyBorder="1" applyAlignment="1">
      <alignment horizontal="center" vertical="center"/>
    </xf>
    <xf numFmtId="0" fontId="6" fillId="0" borderId="4" xfId="7" applyFont="1" applyBorder="1" applyAlignment="1">
      <alignment vertical="center" wrapText="1"/>
    </xf>
    <xf numFmtId="3" fontId="20" fillId="3" borderId="32" xfId="0" applyNumberFormat="1" applyFont="1" applyFill="1" applyBorder="1" applyAlignment="1">
      <alignment vertical="center"/>
    </xf>
    <xf numFmtId="3" fontId="0" fillId="0" borderId="0" xfId="0" applyNumberFormat="1"/>
    <xf numFmtId="3" fontId="6" fillId="0" borderId="5" xfId="7" applyNumberFormat="1" applyFont="1" applyBorder="1" applyAlignment="1">
      <alignment vertical="center" wrapText="1"/>
    </xf>
    <xf numFmtId="3" fontId="6" fillId="0" borderId="67" xfId="7" applyNumberFormat="1" applyFont="1" applyBorder="1" applyAlignment="1">
      <alignment vertical="center" wrapText="1"/>
    </xf>
    <xf numFmtId="3" fontId="23" fillId="0" borderId="5" xfId="7" applyNumberFormat="1" applyFont="1" applyBorder="1" applyAlignment="1">
      <alignment vertical="center" wrapText="1"/>
    </xf>
    <xf numFmtId="3" fontId="6" fillId="0" borderId="68" xfId="7" applyNumberFormat="1" applyFont="1" applyBorder="1" applyAlignment="1">
      <alignment vertical="center" wrapText="1"/>
    </xf>
    <xf numFmtId="3" fontId="5" fillId="3" borderId="58" xfId="0" applyNumberFormat="1" applyFont="1" applyFill="1" applyBorder="1" applyAlignment="1">
      <alignment vertical="center"/>
    </xf>
    <xf numFmtId="3" fontId="5" fillId="3" borderId="20" xfId="0" applyNumberFormat="1" applyFont="1" applyFill="1" applyBorder="1" applyAlignment="1">
      <alignment vertical="center"/>
    </xf>
    <xf numFmtId="3" fontId="20" fillId="3" borderId="58" xfId="0" applyNumberFormat="1" applyFont="1" applyFill="1" applyBorder="1" applyAlignment="1">
      <alignment vertical="center"/>
    </xf>
    <xf numFmtId="3" fontId="6" fillId="0" borderId="4" xfId="7" applyNumberFormat="1" applyFont="1" applyBorder="1" applyAlignment="1">
      <alignment vertical="center" wrapText="1"/>
    </xf>
    <xf numFmtId="3" fontId="23" fillId="0" borderId="4" xfId="7" applyNumberFormat="1" applyFont="1" applyBorder="1" applyAlignment="1">
      <alignment vertical="center" wrapText="1"/>
    </xf>
    <xf numFmtId="0" fontId="6" fillId="0" borderId="25" xfId="7" applyFont="1" applyBorder="1" applyAlignment="1">
      <alignment vertical="center" wrapText="1"/>
    </xf>
    <xf numFmtId="3" fontId="6" fillId="0" borderId="18" xfId="7" applyNumberFormat="1" applyFont="1" applyBorder="1" applyAlignment="1">
      <alignment vertical="center" wrapText="1"/>
    </xf>
    <xf numFmtId="3" fontId="6" fillId="0" borderId="25" xfId="7" applyNumberFormat="1" applyFont="1" applyBorder="1" applyAlignment="1">
      <alignment vertical="center" wrapText="1"/>
    </xf>
    <xf numFmtId="3" fontId="6" fillId="0" borderId="19" xfId="7" applyNumberFormat="1" applyFont="1" applyBorder="1" applyAlignment="1">
      <alignment vertical="center" wrapText="1"/>
    </xf>
    <xf numFmtId="0" fontId="17" fillId="3" borderId="64" xfId="0" applyFont="1" applyFill="1" applyBorder="1" applyAlignment="1">
      <alignment horizontal="center" vertical="center" textRotation="90"/>
    </xf>
    <xf numFmtId="0" fontId="5" fillId="3" borderId="63" xfId="0" applyFont="1" applyFill="1" applyBorder="1" applyAlignment="1">
      <alignment horizontal="center" vertical="center"/>
    </xf>
    <xf numFmtId="3" fontId="9" fillId="3" borderId="63" xfId="0" applyNumberFormat="1" applyFont="1" applyFill="1" applyBorder="1" applyAlignment="1">
      <alignment horizontal="center" vertical="center" wrapText="1"/>
    </xf>
    <xf numFmtId="3" fontId="9" fillId="3" borderId="65" xfId="0" applyNumberFormat="1" applyFont="1" applyFill="1" applyBorder="1" applyAlignment="1">
      <alignment horizontal="center" vertical="center" wrapText="1"/>
    </xf>
    <xf numFmtId="3" fontId="5" fillId="5" borderId="28" xfId="0" applyNumberFormat="1" applyFont="1" applyFill="1" applyBorder="1" applyAlignment="1">
      <alignment vertical="center"/>
    </xf>
    <xf numFmtId="3" fontId="5" fillId="5" borderId="0" xfId="0" applyNumberFormat="1" applyFont="1" applyFill="1" applyAlignment="1">
      <alignment horizontal="right" vertical="center"/>
    </xf>
    <xf numFmtId="3" fontId="5" fillId="5" borderId="24" xfId="0" applyNumberFormat="1" applyFont="1" applyFill="1" applyBorder="1" applyAlignment="1">
      <alignment horizontal="right" vertical="center"/>
    </xf>
    <xf numFmtId="3" fontId="23" fillId="0" borderId="50" xfId="0" applyNumberFormat="1" applyFont="1" applyBorder="1" applyAlignment="1">
      <alignment horizontal="right" vertical="center"/>
    </xf>
    <xf numFmtId="3" fontId="23" fillId="0" borderId="7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5" borderId="32" xfId="0" applyNumberFormat="1" applyFont="1" applyFill="1" applyBorder="1" applyAlignment="1">
      <alignment horizontal="right" vertical="center"/>
    </xf>
    <xf numFmtId="0" fontId="6" fillId="0" borderId="1" xfId="7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vertical="center" wrapText="1"/>
    </xf>
    <xf numFmtId="3" fontId="6" fillId="0" borderId="19" xfId="0" applyNumberFormat="1" applyFont="1" applyBorder="1" applyAlignment="1">
      <alignment vertical="center" wrapText="1"/>
    </xf>
    <xf numFmtId="0" fontId="6" fillId="0" borderId="18" xfId="7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center" vertical="center"/>
    </xf>
    <xf numFmtId="3" fontId="6" fillId="0" borderId="38" xfId="0" applyNumberFormat="1" applyFont="1" applyBorder="1" applyAlignment="1">
      <alignment vertical="center"/>
    </xf>
    <xf numFmtId="0" fontId="7" fillId="0" borderId="4" xfId="7" applyFont="1" applyBorder="1" applyAlignment="1">
      <alignment horizontal="center" vertical="center" wrapText="1"/>
    </xf>
    <xf numFmtId="0" fontId="7" fillId="0" borderId="4" xfId="7" applyFont="1" applyBorder="1" applyAlignment="1">
      <alignment horizontal="center" vertical="center"/>
    </xf>
    <xf numFmtId="3" fontId="38" fillId="3" borderId="14" xfId="0" applyNumberFormat="1" applyFont="1" applyFill="1" applyBorder="1" applyAlignment="1">
      <alignment horizontal="center" vertical="center" textRotation="180" wrapText="1"/>
    </xf>
    <xf numFmtId="3" fontId="29" fillId="3" borderId="8" xfId="0" applyNumberFormat="1" applyFont="1" applyFill="1" applyBorder="1" applyAlignment="1">
      <alignment horizontal="center" vertical="center" textRotation="180" wrapText="1"/>
    </xf>
    <xf numFmtId="0" fontId="10" fillId="0" borderId="4" xfId="0" applyFont="1" applyBorder="1" applyAlignment="1">
      <alignment horizontal="left" vertical="center" wrapText="1"/>
    </xf>
    <xf numFmtId="49" fontId="9" fillId="5" borderId="15" xfId="0" applyNumberFormat="1" applyFont="1" applyFill="1" applyBorder="1" applyAlignment="1">
      <alignment horizontal="center" vertical="center" wrapText="1"/>
    </xf>
    <xf numFmtId="49" fontId="9" fillId="5" borderId="41" xfId="0" applyNumberFormat="1" applyFont="1" applyFill="1" applyBorder="1" applyAlignment="1">
      <alignment horizontal="center" vertical="center" wrapText="1"/>
    </xf>
    <xf numFmtId="49" fontId="9" fillId="5" borderId="2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50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 wrapText="1"/>
    </xf>
    <xf numFmtId="49" fontId="9" fillId="0" borderId="15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5" fillId="3" borderId="44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49" fontId="8" fillId="5" borderId="15" xfId="0" applyNumberFormat="1" applyFont="1" applyFill="1" applyBorder="1" applyAlignment="1">
      <alignment horizontal="center" vertical="center" wrapText="1"/>
    </xf>
    <xf numFmtId="49" fontId="8" fillId="5" borderId="41" xfId="0" applyNumberFormat="1" applyFont="1" applyFill="1" applyBorder="1" applyAlignment="1">
      <alignment horizontal="center" vertical="center" wrapText="1"/>
    </xf>
    <xf numFmtId="49" fontId="8" fillId="5" borderId="22" xfId="0" applyNumberFormat="1" applyFont="1" applyFill="1" applyBorder="1" applyAlignment="1">
      <alignment horizontal="center" vertical="center" wrapText="1"/>
    </xf>
    <xf numFmtId="49" fontId="8" fillId="5" borderId="27" xfId="0" applyNumberFormat="1" applyFont="1" applyFill="1" applyBorder="1" applyAlignment="1">
      <alignment horizontal="center" vertical="center" wrapText="1"/>
    </xf>
    <xf numFmtId="0" fontId="24" fillId="3" borderId="64" xfId="0" applyFont="1" applyFill="1" applyBorder="1" applyAlignment="1">
      <alignment horizontal="left" vertical="center" wrapText="1"/>
    </xf>
    <xf numFmtId="0" fontId="24" fillId="3" borderId="63" xfId="0" applyFont="1" applyFill="1" applyBorder="1" applyAlignment="1">
      <alignment horizontal="left" vertical="center" wrapText="1"/>
    </xf>
    <xf numFmtId="0" fontId="5" fillId="5" borderId="18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horizontal="left" vertical="center" wrapText="1"/>
    </xf>
    <xf numFmtId="0" fontId="5" fillId="5" borderId="39" xfId="0" applyFont="1" applyFill="1" applyBorder="1" applyAlignment="1">
      <alignment horizontal="left" vertical="center" wrapText="1"/>
    </xf>
    <xf numFmtId="0" fontId="5" fillId="5" borderId="30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left" vertical="center"/>
    </xf>
    <xf numFmtId="49" fontId="9" fillId="5" borderId="25" xfId="0" applyNumberFormat="1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center" vertical="top" wrapText="1"/>
    </xf>
    <xf numFmtId="3" fontId="8" fillId="5" borderId="1" xfId="0" applyNumberFormat="1" applyFont="1" applyFill="1" applyBorder="1" applyAlignment="1">
      <alignment horizontal="center" vertical="top" wrapText="1"/>
    </xf>
    <xf numFmtId="49" fontId="9" fillId="5" borderId="22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3" fontId="9" fillId="0" borderId="41" xfId="0" applyNumberFormat="1" applyFont="1" applyBorder="1" applyAlignment="1">
      <alignment horizontal="center" vertical="center" wrapText="1"/>
    </xf>
    <xf numFmtId="3" fontId="9" fillId="0" borderId="25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24" fillId="3" borderId="44" xfId="0" applyFont="1" applyFill="1" applyBorder="1" applyAlignment="1">
      <alignment horizontal="left" vertical="center" wrapText="1"/>
    </xf>
    <xf numFmtId="0" fontId="24" fillId="3" borderId="21" xfId="0" applyFont="1" applyFill="1" applyBorder="1" applyAlignment="1">
      <alignment horizontal="left" vertical="center" wrapText="1"/>
    </xf>
    <xf numFmtId="0" fontId="24" fillId="3" borderId="26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5" fillId="5" borderId="25" xfId="0" applyFont="1" applyFill="1" applyBorder="1" applyAlignment="1">
      <alignment horizontal="left" vertical="center" wrapText="1"/>
    </xf>
    <xf numFmtId="49" fontId="16" fillId="5" borderId="15" xfId="0" applyNumberFormat="1" applyFont="1" applyFill="1" applyBorder="1" applyAlignment="1">
      <alignment horizontal="center" vertical="center" wrapText="1"/>
    </xf>
    <xf numFmtId="49" fontId="16" fillId="5" borderId="41" xfId="0" applyNumberFormat="1" applyFont="1" applyFill="1" applyBorder="1" applyAlignment="1">
      <alignment horizontal="center" vertical="center" wrapText="1"/>
    </xf>
    <xf numFmtId="49" fontId="16" fillId="5" borderId="25" xfId="0" applyNumberFormat="1" applyFont="1" applyFill="1" applyBorder="1" applyAlignment="1">
      <alignment horizontal="center" vertical="center" wrapText="1"/>
    </xf>
    <xf numFmtId="49" fontId="17" fillId="5" borderId="22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8" fillId="3" borderId="42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right"/>
    </xf>
    <xf numFmtId="0" fontId="14" fillId="0" borderId="0" xfId="0" applyFont="1" applyAlignment="1">
      <alignment horizontal="center"/>
    </xf>
    <xf numFmtId="0" fontId="24" fillId="3" borderId="14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left" vertical="center" wrapText="1"/>
    </xf>
    <xf numFmtId="0" fontId="5" fillId="5" borderId="33" xfId="0" applyFont="1" applyFill="1" applyBorder="1" applyAlignment="1">
      <alignment horizontal="left" vertical="center" wrapText="1"/>
    </xf>
    <xf numFmtId="0" fontId="5" fillId="5" borderId="43" xfId="0" applyFont="1" applyFill="1" applyBorder="1" applyAlignment="1">
      <alignment horizontal="left" vertical="center" wrapText="1"/>
    </xf>
    <xf numFmtId="0" fontId="5" fillId="5" borderId="30" xfId="0" applyFont="1" applyFill="1" applyBorder="1" applyAlignment="1">
      <alignment horizontal="left" vertical="center" wrapText="1"/>
    </xf>
    <xf numFmtId="0" fontId="9" fillId="3" borderId="14" xfId="7" applyFont="1" applyFill="1" applyBorder="1" applyAlignment="1">
      <alignment horizontal="center" vertical="center"/>
    </xf>
    <xf numFmtId="0" fontId="9" fillId="3" borderId="8" xfId="7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textRotation="90"/>
    </xf>
    <xf numFmtId="0" fontId="9" fillId="3" borderId="13" xfId="0" applyFont="1" applyFill="1" applyBorder="1" applyAlignment="1">
      <alignment horizontal="center" vertical="center" textRotation="90"/>
    </xf>
    <xf numFmtId="0" fontId="9" fillId="3" borderId="14" xfId="0" applyFont="1" applyFill="1" applyBorder="1" applyAlignment="1">
      <alignment horizontal="center" vertical="center" textRotation="90"/>
    </xf>
    <xf numFmtId="0" fontId="5" fillId="3" borderId="23" xfId="0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0" borderId="52" xfId="0" applyFont="1" applyBorder="1" applyAlignment="1">
      <alignment horizontal="right"/>
    </xf>
    <xf numFmtId="0" fontId="20" fillId="3" borderId="35" xfId="7" applyFont="1" applyFill="1" applyBorder="1" applyAlignment="1">
      <alignment horizontal="center" vertical="center" shrinkToFit="1"/>
    </xf>
    <xf numFmtId="0" fontId="20" fillId="3" borderId="53" xfId="7" applyFont="1" applyFill="1" applyBorder="1" applyAlignment="1">
      <alignment horizontal="center" vertical="center" shrinkToFit="1"/>
    </xf>
    <xf numFmtId="0" fontId="20" fillId="3" borderId="55" xfId="7" applyFont="1" applyFill="1" applyBorder="1" applyAlignment="1">
      <alignment horizontal="center" vertical="center" shrinkToFit="1"/>
    </xf>
    <xf numFmtId="0" fontId="20" fillId="3" borderId="47" xfId="7" applyFont="1" applyFill="1" applyBorder="1" applyAlignment="1">
      <alignment horizontal="center" vertical="center" shrinkToFit="1"/>
    </xf>
    <xf numFmtId="0" fontId="20" fillId="3" borderId="0" xfId="7" applyFont="1" applyFill="1" applyAlignment="1">
      <alignment horizontal="center" vertical="center" shrinkToFit="1"/>
    </xf>
    <xf numFmtId="0" fontId="20" fillId="3" borderId="56" xfId="7" applyFont="1" applyFill="1" applyBorder="1" applyAlignment="1">
      <alignment horizontal="center" vertical="center" shrinkToFit="1"/>
    </xf>
    <xf numFmtId="0" fontId="20" fillId="3" borderId="51" xfId="7" applyFont="1" applyFill="1" applyBorder="1" applyAlignment="1">
      <alignment horizontal="center" vertical="center" shrinkToFit="1"/>
    </xf>
    <xf numFmtId="0" fontId="20" fillId="3" borderId="52" xfId="7" applyFont="1" applyFill="1" applyBorder="1" applyAlignment="1">
      <alignment horizontal="center" vertical="center" shrinkToFit="1"/>
    </xf>
    <xf numFmtId="0" fontId="20" fillId="3" borderId="34" xfId="7" applyFont="1" applyFill="1" applyBorder="1" applyAlignment="1">
      <alignment horizontal="center" vertical="center" shrinkToFit="1"/>
    </xf>
    <xf numFmtId="164" fontId="6" fillId="2" borderId="36" xfId="7" applyNumberFormat="1" applyFont="1" applyFill="1" applyBorder="1" applyAlignment="1">
      <alignment horizontal="center" vertical="center"/>
    </xf>
    <xf numFmtId="164" fontId="6" fillId="2" borderId="41" xfId="7" applyNumberFormat="1" applyFont="1" applyFill="1" applyBorder="1" applyAlignment="1">
      <alignment horizontal="center" vertical="center"/>
    </xf>
    <xf numFmtId="164" fontId="6" fillId="2" borderId="24" xfId="7" applyNumberFormat="1" applyFont="1" applyFill="1" applyBorder="1" applyAlignment="1">
      <alignment horizontal="center" vertical="center"/>
    </xf>
    <xf numFmtId="0" fontId="6" fillId="2" borderId="16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6" fillId="2" borderId="12" xfId="7" applyFont="1" applyFill="1" applyBorder="1" applyAlignment="1">
      <alignment horizontal="center" vertical="center"/>
    </xf>
    <xf numFmtId="0" fontId="28" fillId="2" borderId="36" xfId="7" applyFont="1" applyFill="1" applyBorder="1" applyAlignment="1">
      <alignment horizontal="center" vertical="center" wrapText="1"/>
    </xf>
    <xf numFmtId="0" fontId="28" fillId="2" borderId="41" xfId="7" applyFont="1" applyFill="1" applyBorder="1" applyAlignment="1">
      <alignment horizontal="center" vertical="center" wrapText="1"/>
    </xf>
    <xf numFmtId="0" fontId="28" fillId="2" borderId="24" xfId="7" applyFont="1" applyFill="1" applyBorder="1" applyAlignment="1">
      <alignment horizontal="center" vertical="center" wrapText="1"/>
    </xf>
    <xf numFmtId="0" fontId="13" fillId="2" borderId="36" xfId="7" applyFont="1" applyFill="1" applyBorder="1" applyAlignment="1">
      <alignment horizontal="center" vertical="center" wrapText="1"/>
    </xf>
    <xf numFmtId="0" fontId="13" fillId="2" borderId="41" xfId="7" applyFont="1" applyFill="1" applyBorder="1" applyAlignment="1">
      <alignment horizontal="center" vertical="center" wrapText="1"/>
    </xf>
    <xf numFmtId="0" fontId="13" fillId="2" borderId="24" xfId="7" applyFont="1" applyFill="1" applyBorder="1" applyAlignment="1">
      <alignment horizontal="center" vertical="center" wrapText="1"/>
    </xf>
    <xf numFmtId="0" fontId="23" fillId="0" borderId="53" xfId="2" applyFont="1" applyBorder="1" applyAlignment="1">
      <alignment horizontal="left"/>
    </xf>
    <xf numFmtId="0" fontId="6" fillId="0" borderId="36" xfId="7" applyFont="1" applyBorder="1" applyAlignment="1">
      <alignment horizontal="center" vertical="center" wrapText="1"/>
    </xf>
    <xf numFmtId="0" fontId="6" fillId="0" borderId="41" xfId="7" applyFont="1" applyBorder="1" applyAlignment="1">
      <alignment horizontal="center" vertical="center" wrapText="1"/>
    </xf>
    <xf numFmtId="0" fontId="6" fillId="0" borderId="24" xfId="7" applyFont="1" applyBorder="1" applyAlignment="1">
      <alignment horizontal="center" vertical="center" wrapText="1"/>
    </xf>
    <xf numFmtId="0" fontId="13" fillId="0" borderId="36" xfId="7" applyFont="1" applyBorder="1" applyAlignment="1">
      <alignment horizontal="center" vertical="center" wrapText="1"/>
    </xf>
    <xf numFmtId="0" fontId="13" fillId="0" borderId="41" xfId="7" applyFont="1" applyBorder="1" applyAlignment="1">
      <alignment horizontal="center" vertical="center" wrapText="1"/>
    </xf>
    <xf numFmtId="0" fontId="13" fillId="0" borderId="24" xfId="7" applyFont="1" applyBorder="1" applyAlignment="1">
      <alignment horizontal="center" vertical="center" wrapText="1"/>
    </xf>
    <xf numFmtId="0" fontId="13" fillId="2" borderId="41" xfId="2" applyFont="1" applyFill="1" applyBorder="1" applyAlignment="1">
      <alignment horizontal="center" vertical="center" wrapText="1"/>
    </xf>
    <xf numFmtId="0" fontId="13" fillId="2" borderId="24" xfId="2" applyFont="1" applyFill="1" applyBorder="1" applyAlignment="1">
      <alignment horizontal="center" vertical="center" wrapText="1"/>
    </xf>
    <xf numFmtId="0" fontId="6" fillId="0" borderId="36" xfId="7" applyFont="1" applyBorder="1" applyAlignment="1">
      <alignment horizontal="center" vertical="center"/>
    </xf>
    <xf numFmtId="0" fontId="6" fillId="0" borderId="41" xfId="7" applyFont="1" applyBorder="1" applyAlignment="1">
      <alignment horizontal="center" vertical="center"/>
    </xf>
    <xf numFmtId="0" fontId="6" fillId="0" borderId="24" xfId="7" applyFont="1" applyBorder="1" applyAlignment="1">
      <alignment horizontal="center" vertical="center"/>
    </xf>
    <xf numFmtId="0" fontId="6" fillId="2" borderId="41" xfId="7" applyFont="1" applyFill="1" applyBorder="1" applyAlignment="1">
      <alignment horizontal="center" vertical="center" wrapText="1"/>
    </xf>
    <xf numFmtId="0" fontId="34" fillId="2" borderId="36" xfId="7" applyFont="1" applyFill="1" applyBorder="1" applyAlignment="1">
      <alignment horizontal="center" vertical="center" wrapText="1"/>
    </xf>
    <xf numFmtId="0" fontId="34" fillId="2" borderId="41" xfId="7" applyFont="1" applyFill="1" applyBorder="1" applyAlignment="1">
      <alignment horizontal="center" vertical="center" wrapText="1"/>
    </xf>
    <xf numFmtId="0" fontId="34" fillId="2" borderId="24" xfId="7" applyFont="1" applyFill="1" applyBorder="1" applyAlignment="1">
      <alignment horizontal="center" vertical="center" wrapText="1"/>
    </xf>
    <xf numFmtId="0" fontId="6" fillId="2" borderId="36" xfId="7" applyFont="1" applyFill="1" applyBorder="1" applyAlignment="1">
      <alignment horizontal="center" vertical="center"/>
    </xf>
    <xf numFmtId="0" fontId="6" fillId="2" borderId="41" xfId="7" applyFont="1" applyFill="1" applyBorder="1" applyAlignment="1">
      <alignment horizontal="center" vertical="center"/>
    </xf>
    <xf numFmtId="0" fontId="6" fillId="2" borderId="24" xfId="7" applyFont="1" applyFill="1" applyBorder="1" applyAlignment="1">
      <alignment horizontal="center" vertical="center"/>
    </xf>
    <xf numFmtId="0" fontId="6" fillId="2" borderId="24" xfId="7" applyFont="1" applyFill="1" applyBorder="1" applyAlignment="1">
      <alignment horizontal="center" vertical="center" wrapText="1"/>
    </xf>
    <xf numFmtId="0" fontId="6" fillId="2" borderId="36" xfId="7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52" xfId="2" applyFont="1" applyBorder="1" applyAlignment="1">
      <alignment horizontal="right"/>
    </xf>
    <xf numFmtId="0" fontId="8" fillId="3" borderId="15" xfId="2" applyFont="1" applyFill="1" applyBorder="1" applyAlignment="1">
      <alignment horizontal="center" vertical="center"/>
    </xf>
    <xf numFmtId="0" fontId="8" fillId="3" borderId="41" xfId="2" applyFont="1" applyFill="1" applyBorder="1" applyAlignment="1">
      <alignment horizontal="center" vertical="center"/>
    </xf>
    <xf numFmtId="0" fontId="8" fillId="3" borderId="24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41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3" fontId="5" fillId="3" borderId="5" xfId="2" applyNumberFormat="1" applyFont="1" applyFill="1" applyBorder="1" applyAlignment="1">
      <alignment horizontal="center" vertical="center" wrapText="1"/>
    </xf>
    <xf numFmtId="3" fontId="5" fillId="3" borderId="50" xfId="2" applyNumberFormat="1" applyFont="1" applyFill="1" applyBorder="1" applyAlignment="1">
      <alignment horizontal="center" vertical="center" wrapText="1"/>
    </xf>
    <xf numFmtId="3" fontId="5" fillId="3" borderId="22" xfId="2" applyNumberFormat="1" applyFont="1" applyFill="1" applyBorder="1" applyAlignment="1">
      <alignment horizontal="center" vertical="center" wrapText="1"/>
    </xf>
    <xf numFmtId="3" fontId="9" fillId="3" borderId="5" xfId="2" applyNumberFormat="1" applyFont="1" applyFill="1" applyBorder="1" applyAlignment="1">
      <alignment horizontal="center" vertical="center" wrapText="1"/>
    </xf>
    <xf numFmtId="3" fontId="9" fillId="3" borderId="22" xfId="2" applyNumberFormat="1" applyFont="1" applyFill="1" applyBorder="1" applyAlignment="1">
      <alignment horizontal="center" vertical="center" wrapText="1"/>
    </xf>
    <xf numFmtId="3" fontId="9" fillId="3" borderId="15" xfId="2" applyNumberFormat="1" applyFont="1" applyFill="1" applyBorder="1" applyAlignment="1">
      <alignment horizontal="center" vertical="center" wrapText="1"/>
    </xf>
    <xf numFmtId="3" fontId="9" fillId="3" borderId="24" xfId="2" applyNumberFormat="1" applyFont="1" applyFill="1" applyBorder="1" applyAlignment="1">
      <alignment horizontal="center" vertical="center" wrapText="1"/>
    </xf>
    <xf numFmtId="3" fontId="5" fillId="3" borderId="15" xfId="2" applyNumberFormat="1" applyFont="1" applyFill="1" applyBorder="1" applyAlignment="1">
      <alignment horizontal="center" vertical="center" wrapText="1"/>
    </xf>
    <xf numFmtId="3" fontId="5" fillId="3" borderId="24" xfId="2" applyNumberFormat="1" applyFont="1" applyFill="1" applyBorder="1" applyAlignment="1">
      <alignment horizontal="center" vertical="center" wrapText="1"/>
    </xf>
    <xf numFmtId="0" fontId="9" fillId="3" borderId="16" xfId="2" applyFont="1" applyFill="1" applyBorder="1" applyAlignment="1">
      <alignment horizontal="center" vertical="center" textRotation="90"/>
    </xf>
    <xf numFmtId="0" fontId="9" fillId="3" borderId="2" xfId="2" applyFont="1" applyFill="1" applyBorder="1" applyAlignment="1">
      <alignment horizontal="center" vertical="center" textRotation="90"/>
    </xf>
    <xf numFmtId="0" fontId="9" fillId="3" borderId="12" xfId="2" applyFont="1" applyFill="1" applyBorder="1" applyAlignment="1">
      <alignment horizontal="center" vertical="center" textRotation="90"/>
    </xf>
    <xf numFmtId="0" fontId="5" fillId="3" borderId="33" xfId="2" applyFont="1" applyFill="1" applyBorder="1" applyAlignment="1">
      <alignment horizontal="center" vertical="center"/>
    </xf>
    <xf numFmtId="0" fontId="5" fillId="3" borderId="43" xfId="2" applyFont="1" applyFill="1" applyBorder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3" fontId="5" fillId="3" borderId="33" xfId="2" applyNumberFormat="1" applyFont="1" applyFill="1" applyBorder="1" applyAlignment="1">
      <alignment horizontal="center" vertical="center" wrapText="1"/>
    </xf>
    <xf numFmtId="3" fontId="5" fillId="3" borderId="43" xfId="2" applyNumberFormat="1" applyFont="1" applyFill="1" applyBorder="1" applyAlignment="1">
      <alignment horizontal="center" vertical="center" wrapText="1"/>
    </xf>
    <xf numFmtId="3" fontId="5" fillId="3" borderId="30" xfId="2" applyNumberFormat="1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/>
    </xf>
    <xf numFmtId="0" fontId="5" fillId="3" borderId="37" xfId="2" applyFont="1" applyFill="1" applyBorder="1" applyAlignment="1">
      <alignment horizontal="center" vertical="center"/>
    </xf>
    <xf numFmtId="0" fontId="5" fillId="3" borderId="57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" vertical="center"/>
    </xf>
    <xf numFmtId="0" fontId="23" fillId="2" borderId="36" xfId="7" applyFont="1" applyFill="1" applyBorder="1" applyAlignment="1">
      <alignment horizontal="center" vertical="center" wrapText="1"/>
    </xf>
    <xf numFmtId="0" fontId="23" fillId="2" borderId="41" xfId="7" applyFont="1" applyFill="1" applyBorder="1" applyAlignment="1">
      <alignment horizontal="center" vertical="center" wrapText="1"/>
    </xf>
    <xf numFmtId="0" fontId="23" fillId="2" borderId="24" xfId="7" applyFont="1" applyFill="1" applyBorder="1" applyAlignment="1">
      <alignment horizontal="center" vertical="center" wrapText="1"/>
    </xf>
    <xf numFmtId="3" fontId="5" fillId="3" borderId="6" xfId="2" applyNumberFormat="1" applyFont="1" applyFill="1" applyBorder="1" applyAlignment="1">
      <alignment horizontal="center" vertical="center" wrapText="1"/>
    </xf>
    <xf numFmtId="0" fontId="6" fillId="0" borderId="16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6" fillId="0" borderId="12" xfId="7" applyFont="1" applyBorder="1" applyAlignment="1">
      <alignment horizontal="center" vertical="center"/>
    </xf>
    <xf numFmtId="164" fontId="6" fillId="0" borderId="36" xfId="7" applyNumberFormat="1" applyFont="1" applyBorder="1" applyAlignment="1">
      <alignment horizontal="center" vertical="center"/>
    </xf>
    <xf numFmtId="164" fontId="6" fillId="0" borderId="41" xfId="7" applyNumberFormat="1" applyFont="1" applyBorder="1" applyAlignment="1">
      <alignment horizontal="center" vertical="center"/>
    </xf>
    <xf numFmtId="164" fontId="6" fillId="0" borderId="24" xfId="7" applyNumberFormat="1" applyFont="1" applyBorder="1" applyAlignment="1">
      <alignment horizontal="center" vertical="center"/>
    </xf>
    <xf numFmtId="3" fontId="5" fillId="3" borderId="31" xfId="2" applyNumberFormat="1" applyFont="1" applyFill="1" applyBorder="1" applyAlignment="1">
      <alignment horizontal="center" vertical="center" wrapText="1"/>
    </xf>
    <xf numFmtId="0" fontId="24" fillId="3" borderId="15" xfId="2" applyFont="1" applyFill="1" applyBorder="1" applyAlignment="1">
      <alignment horizontal="center" vertical="center"/>
    </xf>
    <xf numFmtId="0" fontId="24" fillId="3" borderId="24" xfId="2" applyFont="1" applyFill="1" applyBorder="1" applyAlignment="1">
      <alignment horizontal="center" vertical="center"/>
    </xf>
    <xf numFmtId="0" fontId="34" fillId="0" borderId="36" xfId="7" applyFont="1" applyBorder="1" applyAlignment="1">
      <alignment horizontal="center" vertical="center" wrapText="1"/>
    </xf>
    <xf numFmtId="0" fontId="34" fillId="0" borderId="41" xfId="7" applyFont="1" applyBorder="1" applyAlignment="1">
      <alignment horizontal="center" vertical="center" wrapText="1"/>
    </xf>
    <xf numFmtId="0" fontId="34" fillId="0" borderId="24" xfId="7" applyFont="1" applyBorder="1" applyAlignment="1">
      <alignment horizontal="center" vertical="center" wrapText="1"/>
    </xf>
    <xf numFmtId="0" fontId="23" fillId="0" borderId="36" xfId="7" applyFont="1" applyBorder="1" applyAlignment="1">
      <alignment horizontal="center" vertical="center" wrapText="1"/>
    </xf>
    <xf numFmtId="0" fontId="23" fillId="0" borderId="41" xfId="7" applyFont="1" applyBorder="1" applyAlignment="1">
      <alignment horizontal="center" vertical="center" wrapText="1"/>
    </xf>
    <xf numFmtId="0" fontId="23" fillId="0" borderId="24" xfId="7" applyFont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shrinkToFit="1"/>
    </xf>
    <xf numFmtId="0" fontId="5" fillId="3" borderId="61" xfId="0" applyFont="1" applyFill="1" applyBorder="1" applyAlignment="1">
      <alignment horizontal="center" vertical="center" shrinkToFit="1"/>
    </xf>
    <xf numFmtId="0" fontId="8" fillId="3" borderId="29" xfId="0" applyFont="1" applyFill="1" applyBorder="1" applyAlignment="1">
      <alignment horizontal="center" textRotation="90"/>
    </xf>
    <xf numFmtId="0" fontId="7" fillId="3" borderId="13" xfId="0" applyFont="1" applyFill="1" applyBorder="1" applyAlignment="1">
      <alignment textRotation="90"/>
    </xf>
    <xf numFmtId="0" fontId="7" fillId="3" borderId="14" xfId="0" applyFont="1" applyFill="1" applyBorder="1" applyAlignment="1">
      <alignment textRotation="90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3" fontId="9" fillId="3" borderId="23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7" fillId="3" borderId="16" xfId="0" applyFont="1" applyFill="1" applyBorder="1" applyAlignment="1">
      <alignment horizontal="center" textRotation="90"/>
    </xf>
    <xf numFmtId="0" fontId="29" fillId="3" borderId="12" xfId="0" applyFont="1" applyFill="1" applyBorder="1" applyAlignment="1">
      <alignment textRotation="90"/>
    </xf>
    <xf numFmtId="0" fontId="5" fillId="3" borderId="36" xfId="0" applyFont="1" applyFill="1" applyBorder="1" applyAlignment="1">
      <alignment horizontal="center" vertical="center" shrinkToFit="1"/>
    </xf>
    <xf numFmtId="0" fontId="5" fillId="3" borderId="24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59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5" fillId="3" borderId="17" xfId="0" applyFont="1" applyFill="1" applyBorder="1" applyAlignment="1">
      <alignment horizontal="center" vertical="center" wrapText="1" shrinkToFit="1"/>
    </xf>
    <xf numFmtId="0" fontId="5" fillId="3" borderId="11" xfId="0" applyFont="1" applyFill="1" applyBorder="1" applyAlignment="1">
      <alignment horizontal="center" vertical="center" wrapText="1" shrinkToFit="1"/>
    </xf>
    <xf numFmtId="0" fontId="5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shrinkToFit="1"/>
    </xf>
    <xf numFmtId="0" fontId="5" fillId="5" borderId="56" xfId="0" applyFont="1" applyFill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20" fillId="3" borderId="12" xfId="7" applyFont="1" applyFill="1" applyBorder="1" applyAlignment="1">
      <alignment horizontal="center" vertical="center" shrinkToFit="1"/>
    </xf>
    <xf numFmtId="0" fontId="20" fillId="3" borderId="24" xfId="7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" fontId="5" fillId="3" borderId="12" xfId="7" applyNumberFormat="1" applyFont="1" applyFill="1" applyBorder="1" applyAlignment="1">
      <alignment horizontal="center" vertical="center"/>
    </xf>
    <xf numFmtId="16" fontId="5" fillId="3" borderId="24" xfId="7" applyNumberFormat="1" applyFont="1" applyFill="1" applyBorder="1" applyAlignment="1">
      <alignment horizontal="center" vertical="center"/>
    </xf>
    <xf numFmtId="16" fontId="5" fillId="3" borderId="14" xfId="7" applyNumberFormat="1" applyFont="1" applyFill="1" applyBorder="1" applyAlignment="1">
      <alignment horizontal="center" vertical="center"/>
    </xf>
    <xf numFmtId="16" fontId="5" fillId="3" borderId="8" xfId="7" applyNumberFormat="1" applyFont="1" applyFill="1" applyBorder="1" applyAlignment="1">
      <alignment horizontal="center" vertical="center"/>
    </xf>
    <xf numFmtId="16" fontId="5" fillId="3" borderId="42" xfId="7" applyNumberFormat="1" applyFont="1" applyFill="1" applyBorder="1" applyAlignment="1">
      <alignment horizontal="center" vertical="center"/>
    </xf>
    <xf numFmtId="16" fontId="5" fillId="3" borderId="43" xfId="7" applyNumberFormat="1" applyFont="1" applyFill="1" applyBorder="1" applyAlignment="1">
      <alignment horizontal="center" vertical="center"/>
    </xf>
    <xf numFmtId="16" fontId="5" fillId="3" borderId="31" xfId="7" applyNumberFormat="1" applyFont="1" applyFill="1" applyBorder="1" applyAlignment="1">
      <alignment horizontal="center" vertical="center"/>
    </xf>
    <xf numFmtId="16" fontId="6" fillId="2" borderId="3" xfId="7" applyNumberFormat="1" applyFont="1" applyFill="1" applyBorder="1" applyAlignment="1">
      <alignment horizontal="center" vertical="center"/>
    </xf>
    <xf numFmtId="16" fontId="6" fillId="2" borderId="1" xfId="7" applyNumberFormat="1" applyFont="1" applyFill="1" applyBorder="1" applyAlignment="1">
      <alignment horizontal="center" vertical="center"/>
    </xf>
    <xf numFmtId="0" fontId="7" fillId="2" borderId="36" xfId="7" applyFont="1" applyFill="1" applyBorder="1" applyAlignment="1">
      <alignment horizontal="center" vertical="center" wrapText="1"/>
    </xf>
    <xf numFmtId="0" fontId="7" fillId="2" borderId="41" xfId="7" applyFont="1" applyFill="1" applyBorder="1" applyAlignment="1">
      <alignment horizontal="center" vertical="center" wrapText="1"/>
    </xf>
    <xf numFmtId="0" fontId="7" fillId="2" borderId="24" xfId="7" applyFont="1" applyFill="1" applyBorder="1" applyAlignment="1">
      <alignment horizontal="center" vertical="center" wrapText="1"/>
    </xf>
  </cellXfs>
  <cellStyles count="9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3" xr:uid="{00000000-0005-0000-0000-000003000000}"/>
    <cellStyle name="Normál 2 3 2" xfId="4" xr:uid="{00000000-0005-0000-0000-000004000000}"/>
    <cellStyle name="Normál 2 3_-1" xfId="5" xr:uid="{00000000-0005-0000-0000-000005000000}"/>
    <cellStyle name="Normál 3" xfId="6" xr:uid="{00000000-0005-0000-0000-000006000000}"/>
    <cellStyle name="Normál 3 2" xfId="8" xr:uid="{00000000-0005-0000-0000-000007000000}"/>
    <cellStyle name="Normál_09eloi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V75"/>
  <sheetViews>
    <sheetView zoomScaleNormal="100" workbookViewId="0">
      <selection activeCell="A7" sqref="A7:P7"/>
    </sheetView>
  </sheetViews>
  <sheetFormatPr defaultColWidth="9.140625" defaultRowHeight="12.75" x14ac:dyDescent="0.2"/>
  <cols>
    <col min="1" max="1" width="5.5703125" style="20" customWidth="1"/>
    <col min="2" max="2" width="4.28515625" style="20" customWidth="1"/>
    <col min="3" max="3" width="3.7109375" style="3" customWidth="1"/>
    <col min="4" max="4" width="31.7109375" style="3" customWidth="1"/>
    <col min="5" max="8" width="14.7109375" style="5" customWidth="1"/>
    <col min="9" max="9" width="6.5703125" style="16" customWidth="1"/>
    <col min="10" max="10" width="4.28515625" style="16" customWidth="1"/>
    <col min="11" max="11" width="3.7109375" style="16" customWidth="1"/>
    <col min="12" max="12" width="31.7109375" style="3" customWidth="1"/>
    <col min="13" max="15" width="14.7109375" style="3" customWidth="1"/>
    <col min="16" max="16" width="14.7109375" style="5" customWidth="1"/>
    <col min="17" max="17" width="9.140625" style="3"/>
    <col min="18" max="19" width="10.5703125" style="3" bestFit="1" customWidth="1"/>
    <col min="20" max="16384" width="9.140625" style="3"/>
  </cols>
  <sheetData>
    <row r="1" spans="1:22" ht="14.25" x14ac:dyDescent="0.2">
      <c r="L1" s="381" t="s">
        <v>196</v>
      </c>
      <c r="M1" s="381"/>
      <c r="N1" s="381"/>
      <c r="O1" s="381"/>
      <c r="P1" s="381"/>
      <c r="R1" s="43"/>
      <c r="S1" s="43"/>
      <c r="T1" s="43"/>
      <c r="U1" s="43"/>
      <c r="V1" s="43"/>
    </row>
    <row r="2" spans="1:22" ht="14.25" x14ac:dyDescent="0.2">
      <c r="L2" s="381" t="s">
        <v>195</v>
      </c>
      <c r="M2" s="381"/>
      <c r="N2" s="381"/>
      <c r="O2" s="381"/>
      <c r="P2" s="381"/>
      <c r="Q2" s="43"/>
      <c r="R2" s="43"/>
      <c r="S2" s="43"/>
      <c r="T2" s="43"/>
      <c r="U2" s="43"/>
      <c r="V2" s="43"/>
    </row>
    <row r="3" spans="1:22" ht="14.25" x14ac:dyDescent="0.2">
      <c r="L3" s="46"/>
      <c r="M3" s="46"/>
      <c r="N3" s="46"/>
      <c r="O3" s="46"/>
      <c r="P3" s="46"/>
      <c r="Q3" s="43"/>
      <c r="R3" s="43"/>
      <c r="S3" s="43"/>
      <c r="T3" s="43"/>
      <c r="U3" s="43"/>
      <c r="V3" s="43"/>
    </row>
    <row r="4" spans="1:22" ht="15.95" customHeight="1" x14ac:dyDescent="0.25">
      <c r="A4" s="372" t="s">
        <v>162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" t="s">
        <v>39</v>
      </c>
    </row>
    <row r="5" spans="1:22" ht="15.95" customHeight="1" x14ac:dyDescent="0.25">
      <c r="A5" s="372" t="s">
        <v>142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</row>
    <row r="6" spans="1:22" ht="15.95" customHeight="1" x14ac:dyDescent="0.25">
      <c r="A6" s="372" t="s">
        <v>50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</row>
    <row r="7" spans="1:22" ht="15.95" customHeight="1" x14ac:dyDescent="0.25">
      <c r="A7" s="372" t="s">
        <v>194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</row>
    <row r="8" spans="1:22" ht="15.95" customHeight="1" x14ac:dyDescent="0.25">
      <c r="A8" s="372" t="s">
        <v>246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</row>
    <row r="9" spans="1:22" ht="20.100000000000001" customHeight="1" thickBot="1" x14ac:dyDescent="0.4">
      <c r="D9" s="373"/>
      <c r="E9" s="373"/>
      <c r="F9" s="373"/>
      <c r="G9" s="373"/>
      <c r="H9" s="373"/>
      <c r="I9" s="373"/>
      <c r="J9" s="373"/>
      <c r="K9" s="373"/>
      <c r="L9" s="373"/>
      <c r="M9" s="45"/>
      <c r="N9" s="45"/>
      <c r="O9" s="45"/>
      <c r="P9" s="14" t="s">
        <v>156</v>
      </c>
    </row>
    <row r="10" spans="1:22" s="6" customFormat="1" ht="21.95" customHeight="1" x14ac:dyDescent="0.2">
      <c r="A10" s="374" t="s">
        <v>48</v>
      </c>
      <c r="B10" s="375"/>
      <c r="C10" s="375"/>
      <c r="D10" s="375"/>
      <c r="E10" s="375"/>
      <c r="F10" s="375"/>
      <c r="G10" s="94"/>
      <c r="H10" s="94"/>
      <c r="I10" s="374" t="s">
        <v>49</v>
      </c>
      <c r="J10" s="375"/>
      <c r="K10" s="375"/>
      <c r="L10" s="375"/>
      <c r="M10" s="375"/>
      <c r="N10" s="375"/>
      <c r="O10" s="375"/>
      <c r="P10" s="376"/>
    </row>
    <row r="11" spans="1:22" s="6" customFormat="1" ht="35.1" customHeight="1" thickBot="1" x14ac:dyDescent="0.25">
      <c r="A11" s="292" t="s">
        <v>90</v>
      </c>
      <c r="B11" s="293" t="s">
        <v>253</v>
      </c>
      <c r="C11" s="377"/>
      <c r="D11" s="378"/>
      <c r="E11" s="95" t="s">
        <v>38</v>
      </c>
      <c r="F11" s="95" t="s">
        <v>104</v>
      </c>
      <c r="G11" s="96" t="s">
        <v>140</v>
      </c>
      <c r="H11" s="96" t="s">
        <v>141</v>
      </c>
      <c r="I11" s="292" t="s">
        <v>90</v>
      </c>
      <c r="J11" s="293" t="s">
        <v>253</v>
      </c>
      <c r="K11" s="379"/>
      <c r="L11" s="380"/>
      <c r="M11" s="95" t="s">
        <v>38</v>
      </c>
      <c r="N11" s="95" t="s">
        <v>104</v>
      </c>
      <c r="O11" s="96" t="s">
        <v>140</v>
      </c>
      <c r="P11" s="97" t="s">
        <v>141</v>
      </c>
    </row>
    <row r="12" spans="1:22" s="1" customFormat="1" ht="18" customHeight="1" x14ac:dyDescent="0.2">
      <c r="A12" s="340" t="s">
        <v>47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2"/>
    </row>
    <row r="13" spans="1:22" s="2" customFormat="1" ht="18" customHeight="1" x14ac:dyDescent="0.2">
      <c r="A13" s="21" t="s">
        <v>0</v>
      </c>
      <c r="B13" s="343" t="s">
        <v>46</v>
      </c>
      <c r="C13" s="344"/>
      <c r="D13" s="345"/>
      <c r="E13" s="98">
        <f>E14+E18+E22+E26</f>
        <v>853247612</v>
      </c>
      <c r="F13" s="98">
        <f>F14+F18+F22+F26</f>
        <v>1423777128</v>
      </c>
      <c r="G13" s="98">
        <f t="shared" ref="G13:H13" si="0">G14+G18+G22+G26</f>
        <v>152245038</v>
      </c>
      <c r="H13" s="98">
        <f t="shared" si="0"/>
        <v>1576022166</v>
      </c>
      <c r="I13" s="33" t="s">
        <v>0</v>
      </c>
      <c r="J13" s="369" t="s">
        <v>21</v>
      </c>
      <c r="K13" s="370"/>
      <c r="L13" s="371"/>
      <c r="M13" s="103">
        <f>M14+M18+M22+M30+M26</f>
        <v>2499004464</v>
      </c>
      <c r="N13" s="103">
        <f>N14+N18+N22+N30+N26</f>
        <v>3374643225</v>
      </c>
      <c r="O13" s="103">
        <f t="shared" ref="O13:P13" si="1">O14+O18+O22+O30+O26</f>
        <v>-41779204</v>
      </c>
      <c r="P13" s="105">
        <f t="shared" si="1"/>
        <v>3332864021</v>
      </c>
    </row>
    <row r="14" spans="1:22" s="1" customFormat="1" ht="30" customHeight="1" x14ac:dyDescent="0.2">
      <c r="A14" s="22"/>
      <c r="B14" s="329" t="s">
        <v>62</v>
      </c>
      <c r="C14" s="332" t="s">
        <v>53</v>
      </c>
      <c r="D14" s="333"/>
      <c r="E14" s="98">
        <f>E15+E16+E17</f>
        <v>517118252</v>
      </c>
      <c r="F14" s="98">
        <f>F15+F16+F17</f>
        <v>1076219239</v>
      </c>
      <c r="G14" s="98">
        <f t="shared" ref="G14:H14" si="2">G15+G16+G17</f>
        <v>87130038</v>
      </c>
      <c r="H14" s="98">
        <f t="shared" si="2"/>
        <v>1163349277</v>
      </c>
      <c r="I14" s="18"/>
      <c r="J14" s="334" t="s">
        <v>57</v>
      </c>
      <c r="K14" s="354" t="s">
        <v>17</v>
      </c>
      <c r="L14" s="354"/>
      <c r="M14" s="98">
        <f>M15+M16+M17</f>
        <v>933590047</v>
      </c>
      <c r="N14" s="98">
        <f>N15+N16+N17</f>
        <v>953663285</v>
      </c>
      <c r="O14" s="98">
        <f t="shared" ref="O14:P14" si="3">O15+O16+O17</f>
        <v>-22952236</v>
      </c>
      <c r="P14" s="106">
        <f t="shared" si="3"/>
        <v>930711049</v>
      </c>
    </row>
    <row r="15" spans="1:22" s="1" customFormat="1" ht="18" customHeight="1" x14ac:dyDescent="0.2">
      <c r="A15" s="22"/>
      <c r="B15" s="330"/>
      <c r="C15" s="24" t="s">
        <v>1</v>
      </c>
      <c r="D15" s="25" t="s">
        <v>10</v>
      </c>
      <c r="E15" s="100">
        <f>+'2.'!E15+'3.'!E15</f>
        <v>517118252</v>
      </c>
      <c r="F15" s="100">
        <f>+'2.'!F15+'3.'!F15</f>
        <v>1076219239</v>
      </c>
      <c r="G15" s="100">
        <f>+'2.'!G15+'3.'!G15</f>
        <v>87130038</v>
      </c>
      <c r="H15" s="102">
        <f>+G15+F15</f>
        <v>1163349277</v>
      </c>
      <c r="I15" s="18"/>
      <c r="J15" s="335"/>
      <c r="K15" s="24" t="s">
        <v>1</v>
      </c>
      <c r="L15" s="25" t="s">
        <v>10</v>
      </c>
      <c r="M15" s="100">
        <f>+'2.'!M15+'3.'!M15</f>
        <v>933440047</v>
      </c>
      <c r="N15" s="100">
        <f>+'2.'!N15+'3.'!N15</f>
        <v>953513285</v>
      </c>
      <c r="O15" s="100">
        <f>+'2.'!O15+'3.'!O15</f>
        <v>-24669362</v>
      </c>
      <c r="P15" s="102">
        <f>+O15+N15</f>
        <v>928843923</v>
      </c>
    </row>
    <row r="16" spans="1:22" s="1" customFormat="1" ht="18" customHeight="1" x14ac:dyDescent="0.2">
      <c r="A16" s="22"/>
      <c r="B16" s="330"/>
      <c r="C16" s="24" t="s">
        <v>2</v>
      </c>
      <c r="D16" s="25" t="s">
        <v>13</v>
      </c>
      <c r="E16" s="100">
        <f>+'2.'!E16+'3.'!E16</f>
        <v>0</v>
      </c>
      <c r="F16" s="100">
        <f>+'2.'!F16+'3.'!F16</f>
        <v>0</v>
      </c>
      <c r="G16" s="100">
        <f>+'2.'!G16+'3.'!G16</f>
        <v>0</v>
      </c>
      <c r="H16" s="102">
        <f t="shared" ref="H16:H25" si="4">+G16+F16</f>
        <v>0</v>
      </c>
      <c r="I16" s="18"/>
      <c r="J16" s="335"/>
      <c r="K16" s="24" t="s">
        <v>2</v>
      </c>
      <c r="L16" s="25" t="s">
        <v>13</v>
      </c>
      <c r="M16" s="100">
        <f>+'2.'!M16+'3.'!M16</f>
        <v>150000</v>
      </c>
      <c r="N16" s="100">
        <f>+'2.'!N16+'3.'!N16</f>
        <v>150000</v>
      </c>
      <c r="O16" s="100">
        <f>+'2.'!O16+'3.'!O16</f>
        <v>1717126</v>
      </c>
      <c r="P16" s="102">
        <f t="shared" ref="P16:P17" si="5">+O16+N16</f>
        <v>1867126</v>
      </c>
    </row>
    <row r="17" spans="1:19" s="1" customFormat="1" ht="18" customHeight="1" x14ac:dyDescent="0.2">
      <c r="A17" s="22"/>
      <c r="B17" s="331"/>
      <c r="C17" s="24" t="s">
        <v>4</v>
      </c>
      <c r="D17" s="25" t="s">
        <v>12</v>
      </c>
      <c r="E17" s="100">
        <f>+'2.'!E17+'3.'!E17</f>
        <v>0</v>
      </c>
      <c r="F17" s="100">
        <f>+'2.'!F17+'3.'!F17</f>
        <v>0</v>
      </c>
      <c r="G17" s="100">
        <f>+'2.'!G17+'3.'!G17</f>
        <v>0</v>
      </c>
      <c r="H17" s="102">
        <f t="shared" si="4"/>
        <v>0</v>
      </c>
      <c r="I17" s="18"/>
      <c r="J17" s="336"/>
      <c r="K17" s="24" t="s">
        <v>4</v>
      </c>
      <c r="L17" s="25" t="s">
        <v>12</v>
      </c>
      <c r="M17" s="100">
        <f>+'2.'!M17+'3.'!M17</f>
        <v>0</v>
      </c>
      <c r="N17" s="100">
        <f>+'2.'!N17+'3.'!N17</f>
        <v>0</v>
      </c>
      <c r="O17" s="100">
        <f>+'2.'!O17+'3.'!O17</f>
        <v>0</v>
      </c>
      <c r="P17" s="102">
        <f t="shared" si="5"/>
        <v>0</v>
      </c>
    </row>
    <row r="18" spans="1:19" s="1" customFormat="1" ht="30" customHeight="1" x14ac:dyDescent="0.2">
      <c r="A18" s="22"/>
      <c r="B18" s="329" t="s">
        <v>75</v>
      </c>
      <c r="C18" s="332" t="s">
        <v>6</v>
      </c>
      <c r="D18" s="333"/>
      <c r="E18" s="98">
        <f>E19+E20+E21</f>
        <v>0</v>
      </c>
      <c r="F18" s="98">
        <f>F19+F20+F21</f>
        <v>100000</v>
      </c>
      <c r="G18" s="98">
        <f>G19+G20+G21</f>
        <v>0</v>
      </c>
      <c r="H18" s="98">
        <f t="shared" ref="H18" si="6">H19+H20+H21</f>
        <v>100000</v>
      </c>
      <c r="I18" s="18"/>
      <c r="J18" s="334" t="s">
        <v>58</v>
      </c>
      <c r="K18" s="339" t="s">
        <v>20</v>
      </c>
      <c r="L18" s="339"/>
      <c r="M18" s="98">
        <f>M19+M20+M21</f>
        <v>87507269</v>
      </c>
      <c r="N18" s="98">
        <f>N19+N20+N21</f>
        <v>89959031</v>
      </c>
      <c r="O18" s="98">
        <f>O19+O20+O21</f>
        <v>-6590881</v>
      </c>
      <c r="P18" s="106">
        <f>P19+P20+P21</f>
        <v>83368150</v>
      </c>
    </row>
    <row r="19" spans="1:19" s="1" customFormat="1" ht="18" customHeight="1" x14ac:dyDescent="0.2">
      <c r="A19" s="22"/>
      <c r="B19" s="330"/>
      <c r="C19" s="24" t="s">
        <v>1</v>
      </c>
      <c r="D19" s="25" t="s">
        <v>10</v>
      </c>
      <c r="E19" s="100">
        <f>+'2.'!E19+'3.'!E19</f>
        <v>0</v>
      </c>
      <c r="F19" s="100">
        <f>+'2.'!F19+'3.'!F19</f>
        <v>0</v>
      </c>
      <c r="G19" s="101">
        <f>'2.'!G19+'3.'!G19</f>
        <v>0</v>
      </c>
      <c r="H19" s="102">
        <f>+G19+F19</f>
        <v>0</v>
      </c>
      <c r="I19" s="18"/>
      <c r="J19" s="335"/>
      <c r="K19" s="24" t="s">
        <v>1</v>
      </c>
      <c r="L19" s="25" t="s">
        <v>10</v>
      </c>
      <c r="M19" s="100">
        <f>+'2.'!M19+'3.'!M19</f>
        <v>87487769</v>
      </c>
      <c r="N19" s="100">
        <f>+'2.'!N19+'3.'!N19</f>
        <v>89939531</v>
      </c>
      <c r="O19" s="100">
        <f>+'2.'!O19+'3.'!O19</f>
        <v>-7249038</v>
      </c>
      <c r="P19" s="102">
        <f>+O19+N19</f>
        <v>82690493</v>
      </c>
    </row>
    <row r="20" spans="1:19" s="1" customFormat="1" ht="18" customHeight="1" x14ac:dyDescent="0.2">
      <c r="A20" s="22"/>
      <c r="B20" s="330"/>
      <c r="C20" s="24" t="s">
        <v>2</v>
      </c>
      <c r="D20" s="25" t="s">
        <v>13</v>
      </c>
      <c r="E20" s="100">
        <f>+'2.'!E20+'3.'!E20</f>
        <v>0</v>
      </c>
      <c r="F20" s="100">
        <f>+'2.'!F20+'3.'!F20</f>
        <v>0</v>
      </c>
      <c r="G20" s="101">
        <f>'2.'!G20+'3.'!G20</f>
        <v>0</v>
      </c>
      <c r="H20" s="102">
        <f t="shared" si="4"/>
        <v>0</v>
      </c>
      <c r="I20" s="18"/>
      <c r="J20" s="335"/>
      <c r="K20" s="24" t="s">
        <v>2</v>
      </c>
      <c r="L20" s="25" t="s">
        <v>13</v>
      </c>
      <c r="M20" s="100">
        <f>+'2.'!M20+'3.'!M20</f>
        <v>19500</v>
      </c>
      <c r="N20" s="100">
        <f>+'2.'!N20+'3.'!N20</f>
        <v>19500</v>
      </c>
      <c r="O20" s="100">
        <f>+'2.'!O20+'3.'!O20</f>
        <v>658157</v>
      </c>
      <c r="P20" s="102">
        <f t="shared" ref="P20:P21" si="7">+O20+N20</f>
        <v>677657</v>
      </c>
    </row>
    <row r="21" spans="1:19" s="1" customFormat="1" ht="18" customHeight="1" x14ac:dyDescent="0.2">
      <c r="A21" s="22"/>
      <c r="B21" s="331"/>
      <c r="C21" s="24" t="s">
        <v>4</v>
      </c>
      <c r="D21" s="25" t="s">
        <v>12</v>
      </c>
      <c r="E21" s="100">
        <f>+'2.'!E21+'3.'!E21</f>
        <v>0</v>
      </c>
      <c r="F21" s="100">
        <f>+'2.'!F21+'3.'!F21</f>
        <v>100000</v>
      </c>
      <c r="G21" s="101">
        <f>'2.'!G21+'3.'!G21</f>
        <v>0</v>
      </c>
      <c r="H21" s="102">
        <f t="shared" si="4"/>
        <v>100000</v>
      </c>
      <c r="I21" s="18"/>
      <c r="J21" s="336"/>
      <c r="K21" s="24" t="s">
        <v>4</v>
      </c>
      <c r="L21" s="25" t="s">
        <v>12</v>
      </c>
      <c r="M21" s="100">
        <f>+'2.'!M21+'3.'!M21</f>
        <v>0</v>
      </c>
      <c r="N21" s="100">
        <f>+'2.'!N21+'3.'!N21</f>
        <v>0</v>
      </c>
      <c r="O21" s="100">
        <f>+'2.'!O21+'3.'!O21</f>
        <v>0</v>
      </c>
      <c r="P21" s="102">
        <f t="shared" si="7"/>
        <v>0</v>
      </c>
    </row>
    <row r="22" spans="1:19" s="1" customFormat="1" ht="18" customHeight="1" x14ac:dyDescent="0.2">
      <c r="A22" s="22"/>
      <c r="B22" s="329" t="s">
        <v>76</v>
      </c>
      <c r="C22" s="332" t="s">
        <v>37</v>
      </c>
      <c r="D22" s="333"/>
      <c r="E22" s="98">
        <f>E23+E24+E25</f>
        <v>960000</v>
      </c>
      <c r="F22" s="98">
        <f>F23+F24+F25</f>
        <v>12288529</v>
      </c>
      <c r="G22" s="98">
        <f t="shared" ref="G22:H22" si="8">G23+G24+G25</f>
        <v>40115000</v>
      </c>
      <c r="H22" s="98">
        <f t="shared" si="8"/>
        <v>52403529</v>
      </c>
      <c r="I22" s="18"/>
      <c r="J22" s="334" t="s">
        <v>59</v>
      </c>
      <c r="K22" s="339" t="s">
        <v>34</v>
      </c>
      <c r="L22" s="339"/>
      <c r="M22" s="98">
        <f>M23+M24+M25</f>
        <v>808886127</v>
      </c>
      <c r="N22" s="98">
        <f>N23+N24+N25</f>
        <v>823091245</v>
      </c>
      <c r="O22" s="98">
        <f>O23+O24+O25</f>
        <v>36389717</v>
      </c>
      <c r="P22" s="106">
        <f t="shared" ref="P22" si="9">P23+P24+P25</f>
        <v>859480962</v>
      </c>
    </row>
    <row r="23" spans="1:19" s="1" customFormat="1" ht="18" customHeight="1" x14ac:dyDescent="0.2">
      <c r="A23" s="22"/>
      <c r="B23" s="330"/>
      <c r="C23" s="24" t="s">
        <v>1</v>
      </c>
      <c r="D23" s="25" t="s">
        <v>10</v>
      </c>
      <c r="E23" s="100">
        <f>+'2.'!E23+'3.'!E23</f>
        <v>960000</v>
      </c>
      <c r="F23" s="100">
        <f>+'2.'!F23+'3.'!F23</f>
        <v>12288529</v>
      </c>
      <c r="G23" s="100">
        <f>+'2.'!G23+'3.'!G23</f>
        <v>40115000</v>
      </c>
      <c r="H23" s="102">
        <f t="shared" si="4"/>
        <v>52403529</v>
      </c>
      <c r="I23" s="18"/>
      <c r="J23" s="335"/>
      <c r="K23" s="24" t="s">
        <v>1</v>
      </c>
      <c r="L23" s="25" t="s">
        <v>10</v>
      </c>
      <c r="M23" s="100">
        <f>+'2.'!M23+'3.'!M23</f>
        <v>807731627</v>
      </c>
      <c r="N23" s="100">
        <f>+'2.'!N23+'3.'!N23</f>
        <v>821936745</v>
      </c>
      <c r="O23" s="100">
        <f>+'2.'!O23+'3.'!O23</f>
        <v>35715000</v>
      </c>
      <c r="P23" s="102">
        <f>+O23+N23</f>
        <v>857651745</v>
      </c>
    </row>
    <row r="24" spans="1:19" s="1" customFormat="1" ht="18" customHeight="1" x14ac:dyDescent="0.2">
      <c r="A24" s="22"/>
      <c r="B24" s="330"/>
      <c r="C24" s="24" t="s">
        <v>2</v>
      </c>
      <c r="D24" s="25" t="s">
        <v>13</v>
      </c>
      <c r="E24" s="100">
        <f>+'2.'!E24+'3.'!E24</f>
        <v>0</v>
      </c>
      <c r="F24" s="100">
        <f>+'2.'!F24+'3.'!F24</f>
        <v>0</v>
      </c>
      <c r="G24" s="100">
        <f>+'2.'!G24+'3.'!G24</f>
        <v>0</v>
      </c>
      <c r="H24" s="102">
        <f t="shared" si="4"/>
        <v>0</v>
      </c>
      <c r="I24" s="18"/>
      <c r="J24" s="335"/>
      <c r="K24" s="24" t="s">
        <v>2</v>
      </c>
      <c r="L24" s="25" t="s">
        <v>13</v>
      </c>
      <c r="M24" s="100">
        <f>+'2.'!M24+'3.'!M24</f>
        <v>1154500</v>
      </c>
      <c r="N24" s="100">
        <f>+'2.'!N24+'3.'!N24</f>
        <v>1154500</v>
      </c>
      <c r="O24" s="100">
        <f>+'2.'!O24+'3.'!O24</f>
        <v>674717</v>
      </c>
      <c r="P24" s="102">
        <f t="shared" ref="P24:P35" si="10">+O24+N24</f>
        <v>1829217</v>
      </c>
    </row>
    <row r="25" spans="1:19" s="1" customFormat="1" ht="18" customHeight="1" x14ac:dyDescent="0.2">
      <c r="A25" s="22"/>
      <c r="B25" s="331"/>
      <c r="C25" s="24" t="s">
        <v>4</v>
      </c>
      <c r="D25" s="25" t="s">
        <v>12</v>
      </c>
      <c r="E25" s="100">
        <f>+'2.'!E25+'3.'!E25</f>
        <v>0</v>
      </c>
      <c r="F25" s="100">
        <f>+'2.'!F25+'3.'!F25</f>
        <v>0</v>
      </c>
      <c r="G25" s="100">
        <f>+'2.'!G25+'3.'!G25</f>
        <v>0</v>
      </c>
      <c r="H25" s="102">
        <f t="shared" si="4"/>
        <v>0</v>
      </c>
      <c r="I25" s="18"/>
      <c r="J25" s="336"/>
      <c r="K25" s="24" t="s">
        <v>4</v>
      </c>
      <c r="L25" s="25" t="s">
        <v>12</v>
      </c>
      <c r="M25" s="100">
        <f>+'2.'!M25+'3.'!M25</f>
        <v>0</v>
      </c>
      <c r="N25" s="100">
        <f>+'2.'!N25+'3.'!N25</f>
        <v>0</v>
      </c>
      <c r="O25" s="100">
        <f>+'2.'!O25+'3.'!O25</f>
        <v>0</v>
      </c>
      <c r="P25" s="102">
        <f t="shared" si="10"/>
        <v>0</v>
      </c>
    </row>
    <row r="26" spans="1:19" s="1" customFormat="1" ht="18" customHeight="1" x14ac:dyDescent="0.2">
      <c r="A26" s="22"/>
      <c r="B26" s="329" t="s">
        <v>78</v>
      </c>
      <c r="C26" s="349" t="s">
        <v>52</v>
      </c>
      <c r="D26" s="350"/>
      <c r="E26" s="98">
        <f>E27+E28+E29</f>
        <v>335169360</v>
      </c>
      <c r="F26" s="98">
        <f>F27+F28+F29</f>
        <v>335169360</v>
      </c>
      <c r="G26" s="98">
        <f t="shared" ref="G26:H26" si="11">G27+G28+G29</f>
        <v>25000000</v>
      </c>
      <c r="H26" s="98">
        <f t="shared" si="11"/>
        <v>360169360</v>
      </c>
      <c r="I26" s="18"/>
      <c r="J26" s="334" t="s">
        <v>60</v>
      </c>
      <c r="K26" s="354" t="s">
        <v>8</v>
      </c>
      <c r="L26" s="354"/>
      <c r="M26" s="98">
        <f>M27+M28+M29</f>
        <v>0</v>
      </c>
      <c r="N26" s="98">
        <f>N27+N28+N29</f>
        <v>0</v>
      </c>
      <c r="O26" s="98">
        <f>O27+O28+O29</f>
        <v>0</v>
      </c>
      <c r="P26" s="106">
        <f t="shared" ref="P26" si="12">P27+P28+P29</f>
        <v>0</v>
      </c>
    </row>
    <row r="27" spans="1:19" s="1" customFormat="1" ht="18" customHeight="1" x14ac:dyDescent="0.2">
      <c r="A27" s="22"/>
      <c r="B27" s="330"/>
      <c r="C27" s="24" t="s">
        <v>1</v>
      </c>
      <c r="D27" s="25" t="s">
        <v>10</v>
      </c>
      <c r="E27" s="100">
        <f>'2.'!E27+'3.'!E27</f>
        <v>335169360</v>
      </c>
      <c r="F27" s="100">
        <f>'2.'!F27+'3.'!F27</f>
        <v>335169360</v>
      </c>
      <c r="G27" s="100">
        <f>'2.'!G27+'3.'!G27</f>
        <v>25000000</v>
      </c>
      <c r="H27" s="102">
        <f>+G27+F27</f>
        <v>360169360</v>
      </c>
      <c r="I27" s="18"/>
      <c r="J27" s="335"/>
      <c r="K27" s="24" t="s">
        <v>1</v>
      </c>
      <c r="L27" s="25" t="s">
        <v>10</v>
      </c>
      <c r="M27" s="100">
        <f>+'2.'!M27+'3.'!M27</f>
        <v>0</v>
      </c>
      <c r="N27" s="100">
        <f>+'2.'!N27+'3.'!N27</f>
        <v>0</v>
      </c>
      <c r="O27" s="100">
        <f>+'2.'!O27+'3.'!O27</f>
        <v>0</v>
      </c>
      <c r="P27" s="102">
        <f t="shared" si="10"/>
        <v>0</v>
      </c>
    </row>
    <row r="28" spans="1:19" s="1" customFormat="1" ht="18" customHeight="1" x14ac:dyDescent="0.2">
      <c r="A28" s="22"/>
      <c r="B28" s="330"/>
      <c r="C28" s="24" t="s">
        <v>2</v>
      </c>
      <c r="D28" s="25" t="s">
        <v>13</v>
      </c>
      <c r="E28" s="100">
        <f>+'2.'!E28+'3.'!E28</f>
        <v>0</v>
      </c>
      <c r="F28" s="100">
        <f>+'2.'!F28+'3.'!F28</f>
        <v>0</v>
      </c>
      <c r="G28" s="100">
        <f>'2.'!G28+'3.'!G28</f>
        <v>0</v>
      </c>
      <c r="H28" s="102">
        <f t="shared" ref="H28:H29" si="13">+G28+F28</f>
        <v>0</v>
      </c>
      <c r="I28" s="18"/>
      <c r="J28" s="335"/>
      <c r="K28" s="24" t="s">
        <v>2</v>
      </c>
      <c r="L28" s="25" t="s">
        <v>13</v>
      </c>
      <c r="M28" s="100">
        <f>+'2.'!M28+'3.'!M28</f>
        <v>0</v>
      </c>
      <c r="N28" s="100">
        <f>+'2.'!N28+'3.'!N28</f>
        <v>0</v>
      </c>
      <c r="O28" s="100">
        <f>+'2.'!O28+'3.'!O28</f>
        <v>0</v>
      </c>
      <c r="P28" s="102">
        <f t="shared" si="10"/>
        <v>0</v>
      </c>
    </row>
    <row r="29" spans="1:19" s="1" customFormat="1" ht="18" customHeight="1" x14ac:dyDescent="0.2">
      <c r="A29" s="23"/>
      <c r="B29" s="331"/>
      <c r="C29" s="24" t="s">
        <v>4</v>
      </c>
      <c r="D29" s="25" t="s">
        <v>12</v>
      </c>
      <c r="E29" s="100">
        <f>+'2.'!E29+'3.'!E29</f>
        <v>0</v>
      </c>
      <c r="F29" s="100">
        <f>+'2.'!F29+'3.'!F29</f>
        <v>0</v>
      </c>
      <c r="G29" s="100">
        <f>'2.'!G29+'3.'!G29</f>
        <v>0</v>
      </c>
      <c r="H29" s="102">
        <f t="shared" si="13"/>
        <v>0</v>
      </c>
      <c r="I29" s="18"/>
      <c r="J29" s="336"/>
      <c r="K29" s="24" t="s">
        <v>4</v>
      </c>
      <c r="L29" s="25" t="s">
        <v>12</v>
      </c>
      <c r="M29" s="100">
        <f>+'2.'!M29+'3.'!M29</f>
        <v>0</v>
      </c>
      <c r="N29" s="100">
        <f>+'2.'!N29+'3.'!N29</f>
        <v>0</v>
      </c>
      <c r="O29" s="100">
        <f>+'2.'!O29+'3.'!O29</f>
        <v>0</v>
      </c>
      <c r="P29" s="102">
        <f t="shared" si="10"/>
        <v>0</v>
      </c>
    </row>
    <row r="30" spans="1:19" s="1" customFormat="1" ht="18" customHeight="1" x14ac:dyDescent="0.2">
      <c r="A30" s="355"/>
      <c r="B30" s="356"/>
      <c r="C30" s="356"/>
      <c r="D30" s="356"/>
      <c r="E30" s="356"/>
      <c r="F30" s="356"/>
      <c r="G30" s="356"/>
      <c r="H30" s="357"/>
      <c r="I30" s="18"/>
      <c r="J30" s="334" t="s">
        <v>61</v>
      </c>
      <c r="K30" s="339" t="s">
        <v>14</v>
      </c>
      <c r="L30" s="339"/>
      <c r="M30" s="98">
        <f>M31+M34+M35</f>
        <v>669021021</v>
      </c>
      <c r="N30" s="98">
        <f>N31+N34+N35</f>
        <v>1507929664</v>
      </c>
      <c r="O30" s="98">
        <f>O31+O34+O35</f>
        <v>-48625804</v>
      </c>
      <c r="P30" s="106">
        <f t="shared" ref="P30" si="14">P31+P34+P35</f>
        <v>1459303860</v>
      </c>
      <c r="R30" s="37"/>
      <c r="S30" s="37"/>
    </row>
    <row r="31" spans="1:19" s="1" customFormat="1" ht="18" customHeight="1" x14ac:dyDescent="0.2">
      <c r="A31" s="358"/>
      <c r="B31" s="359"/>
      <c r="C31" s="359"/>
      <c r="D31" s="359"/>
      <c r="E31" s="359"/>
      <c r="F31" s="359"/>
      <c r="G31" s="359"/>
      <c r="H31" s="360"/>
      <c r="I31" s="18"/>
      <c r="J31" s="335"/>
      <c r="K31" s="24" t="s">
        <v>1</v>
      </c>
      <c r="L31" s="25" t="s">
        <v>10</v>
      </c>
      <c r="M31" s="100">
        <f>+'2.'!M31+'3.'!M31</f>
        <v>665021021</v>
      </c>
      <c r="N31" s="100">
        <f>+'2.'!N31+'3.'!N31</f>
        <v>1501929664</v>
      </c>
      <c r="O31" s="100">
        <f>+'2.'!O31+'3.'!O31</f>
        <v>-45625804</v>
      </c>
      <c r="P31" s="102">
        <f t="shared" si="10"/>
        <v>1456303860</v>
      </c>
    </row>
    <row r="32" spans="1:19" s="1" customFormat="1" ht="18" customHeight="1" x14ac:dyDescent="0.2">
      <c r="A32" s="358"/>
      <c r="B32" s="359"/>
      <c r="C32" s="359"/>
      <c r="D32" s="359"/>
      <c r="E32" s="359"/>
      <c r="F32" s="359"/>
      <c r="G32" s="359"/>
      <c r="H32" s="360"/>
      <c r="I32" s="18"/>
      <c r="J32" s="335"/>
      <c r="K32" s="30" t="s">
        <v>92</v>
      </c>
      <c r="L32" s="31" t="s">
        <v>94</v>
      </c>
      <c r="M32" s="108">
        <f>+'2.'!M32+'3.'!M32</f>
        <v>5000000</v>
      </c>
      <c r="N32" s="108">
        <f>+'2.'!N32+'3.'!N32</f>
        <v>161022381</v>
      </c>
      <c r="O32" s="108">
        <f>+'2.'!O32+'3.'!O32</f>
        <v>-115837542</v>
      </c>
      <c r="P32" s="123">
        <f t="shared" si="10"/>
        <v>45184839</v>
      </c>
      <c r="Q32" s="37"/>
      <c r="R32" s="37"/>
    </row>
    <row r="33" spans="1:16" s="1" customFormat="1" ht="18" customHeight="1" x14ac:dyDescent="0.2">
      <c r="A33" s="358"/>
      <c r="B33" s="359"/>
      <c r="C33" s="359"/>
      <c r="D33" s="359"/>
      <c r="E33" s="359"/>
      <c r="F33" s="359"/>
      <c r="G33" s="359"/>
      <c r="H33" s="360"/>
      <c r="I33" s="18"/>
      <c r="J33" s="335"/>
      <c r="K33" s="30" t="s">
        <v>93</v>
      </c>
      <c r="L33" s="31" t="s">
        <v>95</v>
      </c>
      <c r="M33" s="108">
        <f>+'2.'!M33+'3.'!M33</f>
        <v>656163814</v>
      </c>
      <c r="N33" s="108">
        <f>+'2.'!N33+'3.'!N33</f>
        <v>1336567551</v>
      </c>
      <c r="O33" s="108">
        <f>+'2.'!O33+'3.'!O33</f>
        <v>45211738</v>
      </c>
      <c r="P33" s="123">
        <f t="shared" si="10"/>
        <v>1381779289</v>
      </c>
    </row>
    <row r="34" spans="1:16" s="1" customFormat="1" ht="18" customHeight="1" x14ac:dyDescent="0.2">
      <c r="A34" s="358"/>
      <c r="B34" s="359"/>
      <c r="C34" s="359"/>
      <c r="D34" s="359"/>
      <c r="E34" s="359"/>
      <c r="F34" s="359"/>
      <c r="G34" s="359"/>
      <c r="H34" s="360"/>
      <c r="I34" s="18"/>
      <c r="J34" s="335"/>
      <c r="K34" s="24" t="s">
        <v>2</v>
      </c>
      <c r="L34" s="25" t="s">
        <v>13</v>
      </c>
      <c r="M34" s="100">
        <f>+'2.'!M34+'3.'!M34</f>
        <v>4000000</v>
      </c>
      <c r="N34" s="100">
        <f>+'2.'!N34+'3.'!N34</f>
        <v>6000000</v>
      </c>
      <c r="O34" s="100">
        <f>+'2.'!O34+'3.'!O34</f>
        <v>-3000000</v>
      </c>
      <c r="P34" s="102">
        <f t="shared" si="10"/>
        <v>3000000</v>
      </c>
    </row>
    <row r="35" spans="1:16" s="1" customFormat="1" ht="18" customHeight="1" x14ac:dyDescent="0.2">
      <c r="A35" s="361"/>
      <c r="B35" s="362"/>
      <c r="C35" s="362"/>
      <c r="D35" s="362"/>
      <c r="E35" s="362"/>
      <c r="F35" s="362"/>
      <c r="G35" s="362"/>
      <c r="H35" s="363"/>
      <c r="I35" s="17"/>
      <c r="J35" s="336"/>
      <c r="K35" s="24" t="s">
        <v>4</v>
      </c>
      <c r="L35" s="25" t="s">
        <v>12</v>
      </c>
      <c r="M35" s="100">
        <f>+'2.'!M35+'3.'!M35</f>
        <v>0</v>
      </c>
      <c r="N35" s="100">
        <f>+'2.'!N35+'3.'!N35</f>
        <v>0</v>
      </c>
      <c r="O35" s="100">
        <f>+'2.'!O35+'3.'!O35</f>
        <v>0</v>
      </c>
      <c r="P35" s="102">
        <f t="shared" si="10"/>
        <v>0</v>
      </c>
    </row>
    <row r="36" spans="1:16" s="1" customFormat="1" ht="30" customHeight="1" x14ac:dyDescent="0.2">
      <c r="A36" s="177" t="s">
        <v>0</v>
      </c>
      <c r="B36" s="320" t="s">
        <v>23</v>
      </c>
      <c r="C36" s="321"/>
      <c r="D36" s="322"/>
      <c r="E36" s="178">
        <f>+E37+E38+E39</f>
        <v>853247612</v>
      </c>
      <c r="F36" s="178">
        <f>+F37+F38+F39</f>
        <v>1423777128</v>
      </c>
      <c r="G36" s="178">
        <f t="shared" ref="G36:H36" si="15">+G37+G38+G39</f>
        <v>152245038</v>
      </c>
      <c r="H36" s="178">
        <f t="shared" si="15"/>
        <v>1576022166</v>
      </c>
      <c r="I36" s="179" t="s">
        <v>0</v>
      </c>
      <c r="J36" s="322" t="s">
        <v>18</v>
      </c>
      <c r="K36" s="364"/>
      <c r="L36" s="364"/>
      <c r="M36" s="180">
        <f>+M37+M38+M39</f>
        <v>2499004464</v>
      </c>
      <c r="N36" s="180">
        <f>+N37+N38+N39</f>
        <v>3374643225</v>
      </c>
      <c r="O36" s="180">
        <f t="shared" ref="O36:P36" si="16">+O37+O38+O39</f>
        <v>-41779204</v>
      </c>
      <c r="P36" s="181">
        <f t="shared" si="16"/>
        <v>3332864021</v>
      </c>
    </row>
    <row r="37" spans="1:16" s="1" customFormat="1" ht="18" customHeight="1" x14ac:dyDescent="0.2">
      <c r="A37" s="182"/>
      <c r="B37" s="365" t="s">
        <v>81</v>
      </c>
      <c r="C37" s="183" t="s">
        <v>1</v>
      </c>
      <c r="D37" s="184" t="s">
        <v>10</v>
      </c>
      <c r="E37" s="185">
        <f t="shared" ref="E37" si="17">+E27+E23+E19+E15</f>
        <v>853247612</v>
      </c>
      <c r="F37" s="185">
        <f t="shared" ref="F37:H39" si="18">+F27+F23+F19+F15</f>
        <v>1423677128</v>
      </c>
      <c r="G37" s="185">
        <f t="shared" si="18"/>
        <v>152245038</v>
      </c>
      <c r="H37" s="185">
        <f t="shared" si="18"/>
        <v>1575922166</v>
      </c>
      <c r="I37" s="326"/>
      <c r="J37" s="368" t="s">
        <v>80</v>
      </c>
      <c r="K37" s="183" t="s">
        <v>1</v>
      </c>
      <c r="L37" s="184" t="s">
        <v>10</v>
      </c>
      <c r="M37" s="185">
        <f>+M31+M27+M23+M19+M15</f>
        <v>2493680464</v>
      </c>
      <c r="N37" s="185">
        <f>+N31+N27+N23+N19+N15</f>
        <v>3367319225</v>
      </c>
      <c r="O37" s="185">
        <f t="shared" ref="O37:P37" si="19">+O31+O27+O23+O19+O15</f>
        <v>-41829204</v>
      </c>
      <c r="P37" s="186">
        <f t="shared" si="19"/>
        <v>3325490021</v>
      </c>
    </row>
    <row r="38" spans="1:16" s="1" customFormat="1" ht="18" customHeight="1" x14ac:dyDescent="0.2">
      <c r="A38" s="182"/>
      <c r="B38" s="366"/>
      <c r="C38" s="183" t="s">
        <v>2</v>
      </c>
      <c r="D38" s="184" t="s">
        <v>13</v>
      </c>
      <c r="E38" s="185">
        <f t="shared" ref="E38" si="20">+E28+E24+E20+E16</f>
        <v>0</v>
      </c>
      <c r="F38" s="185">
        <f t="shared" si="18"/>
        <v>0</v>
      </c>
      <c r="G38" s="185">
        <f t="shared" si="18"/>
        <v>0</v>
      </c>
      <c r="H38" s="185">
        <f t="shared" si="18"/>
        <v>0</v>
      </c>
      <c r="I38" s="326"/>
      <c r="J38" s="368"/>
      <c r="K38" s="183" t="s">
        <v>2</v>
      </c>
      <c r="L38" s="184" t="s">
        <v>13</v>
      </c>
      <c r="M38" s="185">
        <f>+M34+M28+M24+M20+M16</f>
        <v>5324000</v>
      </c>
      <c r="N38" s="185">
        <f>+N34+N28+N24+N20+N16</f>
        <v>7324000</v>
      </c>
      <c r="O38" s="185">
        <f t="shared" ref="O38:P39" si="21">+O34+O28+O24+O20+O16</f>
        <v>50000</v>
      </c>
      <c r="P38" s="186">
        <f t="shared" si="21"/>
        <v>7374000</v>
      </c>
    </row>
    <row r="39" spans="1:16" s="1" customFormat="1" ht="18" customHeight="1" x14ac:dyDescent="0.2">
      <c r="A39" s="187"/>
      <c r="B39" s="367"/>
      <c r="C39" s="183" t="s">
        <v>4</v>
      </c>
      <c r="D39" s="184" t="s">
        <v>12</v>
      </c>
      <c r="E39" s="185">
        <f t="shared" ref="E39" si="22">+E29+E25+E21+E17</f>
        <v>0</v>
      </c>
      <c r="F39" s="185">
        <f t="shared" si="18"/>
        <v>100000</v>
      </c>
      <c r="G39" s="185">
        <f t="shared" si="18"/>
        <v>0</v>
      </c>
      <c r="H39" s="185">
        <f t="shared" si="18"/>
        <v>100000</v>
      </c>
      <c r="I39" s="327"/>
      <c r="J39" s="368"/>
      <c r="K39" s="183" t="s">
        <v>4</v>
      </c>
      <c r="L39" s="184" t="s">
        <v>12</v>
      </c>
      <c r="M39" s="188">
        <f t="shared" ref="M39:N39" si="23">+M35+M29+M25+M21+M17</f>
        <v>0</v>
      </c>
      <c r="N39" s="188">
        <f t="shared" si="23"/>
        <v>0</v>
      </c>
      <c r="O39" s="188">
        <f t="shared" si="21"/>
        <v>0</v>
      </c>
      <c r="P39" s="189">
        <f t="shared" si="21"/>
        <v>0</v>
      </c>
    </row>
    <row r="40" spans="1:16" s="36" customFormat="1" ht="30.75" customHeight="1" thickBot="1" x14ac:dyDescent="0.25">
      <c r="A40" s="351" t="s">
        <v>96</v>
      </c>
      <c r="B40" s="352"/>
      <c r="C40" s="352"/>
      <c r="D40" s="353"/>
      <c r="E40" s="114">
        <f>+M36-E36</f>
        <v>1645756852</v>
      </c>
      <c r="F40" s="114">
        <f>+N36-F36</f>
        <v>1950866097</v>
      </c>
      <c r="G40" s="114"/>
      <c r="H40" s="114">
        <f>+P36-H36</f>
        <v>1756841855</v>
      </c>
      <c r="I40" s="351" t="s">
        <v>97</v>
      </c>
      <c r="J40" s="352"/>
      <c r="K40" s="352"/>
      <c r="L40" s="353"/>
      <c r="M40" s="115"/>
      <c r="N40" s="115"/>
      <c r="O40" s="115">
        <f>G36-O36</f>
        <v>194024242</v>
      </c>
      <c r="P40" s="116"/>
    </row>
    <row r="41" spans="1:16" s="1" customFormat="1" ht="18" customHeight="1" x14ac:dyDescent="0.2">
      <c r="A41" s="340" t="s">
        <v>51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2"/>
    </row>
    <row r="42" spans="1:16" s="1" customFormat="1" ht="18" customHeight="1" x14ac:dyDescent="0.2">
      <c r="A42" s="21" t="s">
        <v>3</v>
      </c>
      <c r="B42" s="343" t="s">
        <v>24</v>
      </c>
      <c r="C42" s="344"/>
      <c r="D42" s="345"/>
      <c r="E42" s="98">
        <f>E43+E47+E51</f>
        <v>312856917</v>
      </c>
      <c r="F42" s="98">
        <f>F43+F47+F51</f>
        <v>319556917</v>
      </c>
      <c r="G42" s="98">
        <f>G43+G47+G51</f>
        <v>0</v>
      </c>
      <c r="H42" s="98">
        <f t="shared" ref="H42" si="24">H43+H47+H51</f>
        <v>319556917</v>
      </c>
      <c r="I42" s="19" t="s">
        <v>3</v>
      </c>
      <c r="J42" s="346" t="s">
        <v>22</v>
      </c>
      <c r="K42" s="347"/>
      <c r="L42" s="348"/>
      <c r="M42" s="103">
        <f>M43+M47+M51</f>
        <v>437078849</v>
      </c>
      <c r="N42" s="103">
        <f>N43+N47+N51</f>
        <v>437078849</v>
      </c>
      <c r="O42" s="103">
        <f>O43+O47+O51</f>
        <v>194024242</v>
      </c>
      <c r="P42" s="105">
        <f t="shared" ref="P42" si="25">P43+P47+P51</f>
        <v>631103091</v>
      </c>
    </row>
    <row r="43" spans="1:16" s="1" customFormat="1" ht="30" customHeight="1" x14ac:dyDescent="0.2">
      <c r="A43" s="22"/>
      <c r="B43" s="329" t="s">
        <v>74</v>
      </c>
      <c r="C43" s="332" t="s">
        <v>55</v>
      </c>
      <c r="D43" s="333"/>
      <c r="E43" s="98">
        <f>E44+E45+E46</f>
        <v>54451092</v>
      </c>
      <c r="F43" s="98">
        <f>F44+F45+F46</f>
        <v>54451092</v>
      </c>
      <c r="G43" s="98">
        <f>G44+G45+G46</f>
        <v>0</v>
      </c>
      <c r="H43" s="98">
        <f t="shared" ref="H43" si="26">H44+H45+H46</f>
        <v>54451092</v>
      </c>
      <c r="I43" s="18"/>
      <c r="J43" s="334" t="s">
        <v>63</v>
      </c>
      <c r="K43" s="349" t="s">
        <v>15</v>
      </c>
      <c r="L43" s="350"/>
      <c r="M43" s="98">
        <f>M44+M45+M46</f>
        <v>360075724</v>
      </c>
      <c r="N43" s="98">
        <f>N44+N45+N46</f>
        <v>360075724</v>
      </c>
      <c r="O43" s="98">
        <f>O44+O45+O46</f>
        <v>194024242</v>
      </c>
      <c r="P43" s="106">
        <f t="shared" ref="P43" si="27">P44+P45+P46</f>
        <v>554099966</v>
      </c>
    </row>
    <row r="44" spans="1:16" s="1" customFormat="1" ht="18" customHeight="1" x14ac:dyDescent="0.2">
      <c r="A44" s="22"/>
      <c r="B44" s="330"/>
      <c r="C44" s="24" t="s">
        <v>1</v>
      </c>
      <c r="D44" s="25" t="s">
        <v>10</v>
      </c>
      <c r="E44" s="100">
        <f>'2.'!E44+'3.'!E44</f>
        <v>54451092</v>
      </c>
      <c r="F44" s="100">
        <f>'2.'!F44+'3.'!F44</f>
        <v>54451092</v>
      </c>
      <c r="G44" s="100">
        <f>'2.'!G44+'3.'!G44</f>
        <v>0</v>
      </c>
      <c r="H44" s="102">
        <f>+G44+F44</f>
        <v>54451092</v>
      </c>
      <c r="I44" s="18"/>
      <c r="J44" s="335"/>
      <c r="K44" s="24" t="s">
        <v>1</v>
      </c>
      <c r="L44" s="25" t="s">
        <v>10</v>
      </c>
      <c r="M44" s="100">
        <f>+'2.'!M44+'3.'!M44</f>
        <v>360075724</v>
      </c>
      <c r="N44" s="100">
        <f>+'2.'!N44+'3.'!N44</f>
        <v>360075724</v>
      </c>
      <c r="O44" s="100">
        <f>+'2.'!O44+'3.'!O44</f>
        <v>194024242</v>
      </c>
      <c r="P44" s="102">
        <f>+O44+N44</f>
        <v>554099966</v>
      </c>
    </row>
    <row r="45" spans="1:16" s="1" customFormat="1" ht="18" customHeight="1" x14ac:dyDescent="0.2">
      <c r="A45" s="22"/>
      <c r="B45" s="330"/>
      <c r="C45" s="24" t="s">
        <v>2</v>
      </c>
      <c r="D45" s="25" t="s">
        <v>13</v>
      </c>
      <c r="E45" s="100">
        <f>+'2.'!E45+'3.'!E45</f>
        <v>0</v>
      </c>
      <c r="F45" s="100">
        <f>+'2.'!F45+'3.'!F45</f>
        <v>0</v>
      </c>
      <c r="G45" s="100">
        <f>'2.'!G45+'3.'!G45</f>
        <v>0</v>
      </c>
      <c r="H45" s="102">
        <f>+G45+F45</f>
        <v>0</v>
      </c>
      <c r="I45" s="18"/>
      <c r="J45" s="335"/>
      <c r="K45" s="24" t="s">
        <v>2</v>
      </c>
      <c r="L45" s="25" t="s">
        <v>13</v>
      </c>
      <c r="M45" s="100">
        <f>+'2.'!M45+'3.'!M45</f>
        <v>0</v>
      </c>
      <c r="N45" s="100">
        <f>+'2.'!N45+'3.'!N45</f>
        <v>0</v>
      </c>
      <c r="O45" s="100">
        <f>+'2.'!O45+'3.'!O45</f>
        <v>0</v>
      </c>
      <c r="P45" s="102">
        <f t="shared" ref="P45:P46" si="28">+O45+N45</f>
        <v>0</v>
      </c>
    </row>
    <row r="46" spans="1:16" s="1" customFormat="1" ht="18" customHeight="1" x14ac:dyDescent="0.2">
      <c r="A46" s="22"/>
      <c r="B46" s="331"/>
      <c r="C46" s="24" t="s">
        <v>4</v>
      </c>
      <c r="D46" s="25" t="s">
        <v>12</v>
      </c>
      <c r="E46" s="100">
        <f>+'2.'!E46+'3.'!E46</f>
        <v>0</v>
      </c>
      <c r="F46" s="100">
        <f>+'2.'!F46+'3.'!F46</f>
        <v>0</v>
      </c>
      <c r="G46" s="100">
        <f>'2.'!G46+'3.'!G46</f>
        <v>0</v>
      </c>
      <c r="H46" s="102">
        <f>+G46+F46</f>
        <v>0</v>
      </c>
      <c r="I46" s="18"/>
      <c r="J46" s="336"/>
      <c r="K46" s="24" t="s">
        <v>4</v>
      </c>
      <c r="L46" s="25" t="s">
        <v>12</v>
      </c>
      <c r="M46" s="100">
        <f>+'2.'!M46+'3.'!M46</f>
        <v>0</v>
      </c>
      <c r="N46" s="100">
        <f>+'2.'!N46+'3.'!N46</f>
        <v>0</v>
      </c>
      <c r="O46" s="100">
        <f>+'2.'!O46+'3.'!O46</f>
        <v>0</v>
      </c>
      <c r="P46" s="102">
        <f t="shared" si="28"/>
        <v>0</v>
      </c>
    </row>
    <row r="47" spans="1:16" s="1" customFormat="1" ht="18" customHeight="1" x14ac:dyDescent="0.2">
      <c r="A47" s="22"/>
      <c r="B47" s="329" t="s">
        <v>77</v>
      </c>
      <c r="C47" s="332" t="s">
        <v>25</v>
      </c>
      <c r="D47" s="333"/>
      <c r="E47" s="98">
        <f>E48+E49+E50</f>
        <v>0</v>
      </c>
      <c r="F47" s="98">
        <f>F48+F49+F50</f>
        <v>6700000</v>
      </c>
      <c r="G47" s="98">
        <f t="shared" ref="G47:H47" si="29">G48+G49+G50</f>
        <v>0</v>
      </c>
      <c r="H47" s="98">
        <f t="shared" si="29"/>
        <v>6700000</v>
      </c>
      <c r="I47" s="18"/>
      <c r="J47" s="334" t="s">
        <v>64</v>
      </c>
      <c r="K47" s="332" t="s">
        <v>16</v>
      </c>
      <c r="L47" s="333"/>
      <c r="M47" s="98">
        <f>M48+M49+M50</f>
        <v>77003125</v>
      </c>
      <c r="N47" s="98">
        <f>N48+N49+N50</f>
        <v>77003125</v>
      </c>
      <c r="O47" s="98">
        <f>O48+O49+O50</f>
        <v>0</v>
      </c>
      <c r="P47" s="106">
        <f t="shared" ref="P47" si="30">P48+P49+P50</f>
        <v>77003125</v>
      </c>
    </row>
    <row r="48" spans="1:16" s="1" customFormat="1" ht="18" customHeight="1" x14ac:dyDescent="0.2">
      <c r="A48" s="22"/>
      <c r="B48" s="330"/>
      <c r="C48" s="24" t="s">
        <v>1</v>
      </c>
      <c r="D48" s="25" t="s">
        <v>10</v>
      </c>
      <c r="E48" s="100">
        <f>+'2.'!E48+'3.'!E48</f>
        <v>0</v>
      </c>
      <c r="F48" s="100">
        <f>+'2.'!F48+'3.'!F48</f>
        <v>6700000</v>
      </c>
      <c r="G48" s="100">
        <f>+'2.'!G48+'3.'!G48</f>
        <v>0</v>
      </c>
      <c r="H48" s="102">
        <f>+G48+F48</f>
        <v>6700000</v>
      </c>
      <c r="I48" s="18"/>
      <c r="J48" s="335"/>
      <c r="K48" s="24" t="s">
        <v>1</v>
      </c>
      <c r="L48" s="25" t="s">
        <v>10</v>
      </c>
      <c r="M48" s="100">
        <f>+'2.'!M48+'3.'!M48</f>
        <v>77003125</v>
      </c>
      <c r="N48" s="100">
        <f>+'2.'!N48+'3.'!N48</f>
        <v>77003125</v>
      </c>
      <c r="O48" s="100">
        <f>+'2.'!O48+'3.'!O48</f>
        <v>0</v>
      </c>
      <c r="P48" s="102">
        <f>+O48+N48</f>
        <v>77003125</v>
      </c>
    </row>
    <row r="49" spans="1:19" s="1" customFormat="1" ht="18" customHeight="1" x14ac:dyDescent="0.2">
      <c r="A49" s="22"/>
      <c r="B49" s="330"/>
      <c r="C49" s="24" t="s">
        <v>2</v>
      </c>
      <c r="D49" s="25" t="s">
        <v>13</v>
      </c>
      <c r="E49" s="100">
        <f>+'2.'!E49+'3.'!E49</f>
        <v>0</v>
      </c>
      <c r="F49" s="100">
        <f>+'2.'!F49+'3.'!F49</f>
        <v>0</v>
      </c>
      <c r="G49" s="100">
        <f>+'2.'!G49+'3.'!G49</f>
        <v>0</v>
      </c>
      <c r="H49" s="102">
        <f>+G49+F49</f>
        <v>0</v>
      </c>
      <c r="I49" s="18"/>
      <c r="J49" s="335"/>
      <c r="K49" s="24" t="s">
        <v>2</v>
      </c>
      <c r="L49" s="25" t="s">
        <v>13</v>
      </c>
      <c r="M49" s="100">
        <f>+'2.'!M49+'3.'!M49</f>
        <v>0</v>
      </c>
      <c r="N49" s="100">
        <f>+'2.'!N49+'3.'!N49</f>
        <v>0</v>
      </c>
      <c r="O49" s="100">
        <f>+'2.'!O49+'3.'!O49</f>
        <v>0</v>
      </c>
      <c r="P49" s="102">
        <f t="shared" ref="P49:P50" si="31">+O49+N49</f>
        <v>0</v>
      </c>
    </row>
    <row r="50" spans="1:19" s="1" customFormat="1" ht="18" customHeight="1" x14ac:dyDescent="0.2">
      <c r="A50" s="22"/>
      <c r="B50" s="331"/>
      <c r="C50" s="24" t="s">
        <v>4</v>
      </c>
      <c r="D50" s="25" t="s">
        <v>12</v>
      </c>
      <c r="E50" s="100">
        <f>+'2.'!E50+'3.'!E50</f>
        <v>0</v>
      </c>
      <c r="F50" s="100">
        <f>+'2.'!F50+'3.'!F50</f>
        <v>0</v>
      </c>
      <c r="G50" s="100">
        <f>+'2.'!G50+'3.'!G50</f>
        <v>0</v>
      </c>
      <c r="H50" s="102">
        <f>+G50+F50</f>
        <v>0</v>
      </c>
      <c r="I50" s="18"/>
      <c r="J50" s="336"/>
      <c r="K50" s="24" t="s">
        <v>4</v>
      </c>
      <c r="L50" s="25" t="s">
        <v>12</v>
      </c>
      <c r="M50" s="100">
        <f>+'2.'!M50+'3.'!M50</f>
        <v>0</v>
      </c>
      <c r="N50" s="100">
        <f>+'2.'!N50+'3.'!N50</f>
        <v>0</v>
      </c>
      <c r="O50" s="100">
        <f>+'2.'!O50+'3.'!O50</f>
        <v>0</v>
      </c>
      <c r="P50" s="102">
        <f t="shared" si="31"/>
        <v>0</v>
      </c>
    </row>
    <row r="51" spans="1:19" s="1" customFormat="1" ht="18" customHeight="1" x14ac:dyDescent="0.2">
      <c r="A51" s="22"/>
      <c r="B51" s="329" t="s">
        <v>79</v>
      </c>
      <c r="C51" s="337" t="s">
        <v>54</v>
      </c>
      <c r="D51" s="338"/>
      <c r="E51" s="98">
        <f>E52+E53+E54</f>
        <v>258405825</v>
      </c>
      <c r="F51" s="98">
        <f>F52+F53+F54</f>
        <v>258405825</v>
      </c>
      <c r="G51" s="98">
        <f t="shared" ref="G51:H51" si="32">G52+G53+G54</f>
        <v>0</v>
      </c>
      <c r="H51" s="98">
        <f t="shared" si="32"/>
        <v>258405825</v>
      </c>
      <c r="I51" s="18"/>
      <c r="J51" s="334" t="s">
        <v>65</v>
      </c>
      <c r="K51" s="339" t="s">
        <v>66</v>
      </c>
      <c r="L51" s="339"/>
      <c r="M51" s="98">
        <f>M52+M53+M54</f>
        <v>0</v>
      </c>
      <c r="N51" s="98">
        <f>N52+N53+N54</f>
        <v>0</v>
      </c>
      <c r="O51" s="98">
        <f>O52+O53+O54</f>
        <v>0</v>
      </c>
      <c r="P51" s="106">
        <f t="shared" ref="P51" si="33">P52+P53+P54</f>
        <v>0</v>
      </c>
    </row>
    <row r="52" spans="1:19" s="1" customFormat="1" ht="18" customHeight="1" x14ac:dyDescent="0.2">
      <c r="A52" s="22"/>
      <c r="B52" s="330"/>
      <c r="C52" s="24" t="s">
        <v>1</v>
      </c>
      <c r="D52" s="25" t="s">
        <v>10</v>
      </c>
      <c r="E52" s="100">
        <f>+'2.'!E52+'3.'!E52</f>
        <v>258405825</v>
      </c>
      <c r="F52" s="100">
        <f>+'2.'!F52+'3.'!F52</f>
        <v>258405825</v>
      </c>
      <c r="G52" s="100">
        <f>+'2.'!G52+'3.'!G52</f>
        <v>0</v>
      </c>
      <c r="H52" s="102">
        <f>+G52+F52</f>
        <v>258405825</v>
      </c>
      <c r="I52" s="18"/>
      <c r="J52" s="335"/>
      <c r="K52" s="24" t="s">
        <v>1</v>
      </c>
      <c r="L52" s="25" t="s">
        <v>10</v>
      </c>
      <c r="M52" s="100">
        <f>+'2.'!M52+'3.'!M52</f>
        <v>0</v>
      </c>
      <c r="N52" s="100">
        <f>+'2.'!N52+'3.'!N52</f>
        <v>0</v>
      </c>
      <c r="O52" s="100">
        <f>+'2.'!O52+'3.'!O52</f>
        <v>0</v>
      </c>
      <c r="P52" s="102">
        <f>+O52+N52</f>
        <v>0</v>
      </c>
    </row>
    <row r="53" spans="1:19" s="1" customFormat="1" ht="18" customHeight="1" x14ac:dyDescent="0.2">
      <c r="A53" s="22"/>
      <c r="B53" s="330"/>
      <c r="C53" s="24" t="s">
        <v>2</v>
      </c>
      <c r="D53" s="25" t="s">
        <v>13</v>
      </c>
      <c r="E53" s="100">
        <f>+'2.'!E53+'3.'!E53</f>
        <v>0</v>
      </c>
      <c r="F53" s="100">
        <f>+'2.'!F53+'3.'!F53</f>
        <v>0</v>
      </c>
      <c r="G53" s="100">
        <f>+'2.'!G53+'3.'!G53</f>
        <v>0</v>
      </c>
      <c r="H53" s="102">
        <f>+G53+F53</f>
        <v>0</v>
      </c>
      <c r="I53" s="18"/>
      <c r="J53" s="335"/>
      <c r="K53" s="24" t="s">
        <v>2</v>
      </c>
      <c r="L53" s="25" t="s">
        <v>13</v>
      </c>
      <c r="M53" s="100">
        <f>+'2.'!M53+'3.'!M53</f>
        <v>0</v>
      </c>
      <c r="N53" s="100">
        <f>+'2.'!N53+'3.'!N53</f>
        <v>0</v>
      </c>
      <c r="O53" s="100">
        <f>+'2.'!O53+'3.'!O53</f>
        <v>0</v>
      </c>
      <c r="P53" s="102">
        <f t="shared" ref="P53:P54" si="34">+O53+N53</f>
        <v>0</v>
      </c>
    </row>
    <row r="54" spans="1:19" s="1" customFormat="1" ht="18" customHeight="1" x14ac:dyDescent="0.2">
      <c r="A54" s="23"/>
      <c r="B54" s="331"/>
      <c r="C54" s="24" t="s">
        <v>4</v>
      </c>
      <c r="D54" s="25" t="s">
        <v>12</v>
      </c>
      <c r="E54" s="100">
        <f>+'2.'!E54+'3.'!E54</f>
        <v>0</v>
      </c>
      <c r="F54" s="100">
        <f>+'2.'!F54+'3.'!F54</f>
        <v>0</v>
      </c>
      <c r="G54" s="100">
        <f>+'2.'!G54+'3.'!G54</f>
        <v>0</v>
      </c>
      <c r="H54" s="102">
        <f>+G54+F54</f>
        <v>0</v>
      </c>
      <c r="I54" s="17"/>
      <c r="J54" s="336"/>
      <c r="K54" s="24" t="s">
        <v>4</v>
      </c>
      <c r="L54" s="25" t="s">
        <v>12</v>
      </c>
      <c r="M54" s="100">
        <f>+'2.'!M54+'3.'!M54</f>
        <v>0</v>
      </c>
      <c r="N54" s="100">
        <f>+'2.'!N54+'3.'!N54</f>
        <v>0</v>
      </c>
      <c r="O54" s="100">
        <f>+'2.'!O54+'3.'!O54</f>
        <v>0</v>
      </c>
      <c r="P54" s="102">
        <f t="shared" si="34"/>
        <v>0</v>
      </c>
    </row>
    <row r="55" spans="1:19" s="1" customFormat="1" ht="30" customHeight="1" x14ac:dyDescent="0.2">
      <c r="A55" s="190" t="s">
        <v>3</v>
      </c>
      <c r="B55" s="305" t="s">
        <v>26</v>
      </c>
      <c r="C55" s="306"/>
      <c r="D55" s="307"/>
      <c r="E55" s="180">
        <f>E56+E57+E58</f>
        <v>312856917</v>
      </c>
      <c r="F55" s="180">
        <f>F56+F57+F58</f>
        <v>319556917</v>
      </c>
      <c r="G55" s="180">
        <f t="shared" ref="G55:H55" si="35">G56+G57+G58</f>
        <v>0</v>
      </c>
      <c r="H55" s="180">
        <f t="shared" si="35"/>
        <v>319556917</v>
      </c>
      <c r="I55" s="191" t="s">
        <v>3</v>
      </c>
      <c r="J55" s="305" t="s">
        <v>19</v>
      </c>
      <c r="K55" s="306"/>
      <c r="L55" s="307"/>
      <c r="M55" s="180">
        <f>M56+M57+M58</f>
        <v>437078849</v>
      </c>
      <c r="N55" s="180">
        <f>N56+N57+N58</f>
        <v>437078849</v>
      </c>
      <c r="O55" s="180">
        <f t="shared" ref="O55:P55" si="36">O56+O57+O58</f>
        <v>194024242</v>
      </c>
      <c r="P55" s="181">
        <f t="shared" si="36"/>
        <v>631103091</v>
      </c>
    </row>
    <row r="56" spans="1:19" s="1" customFormat="1" ht="18" customHeight="1" x14ac:dyDescent="0.2">
      <c r="A56" s="182"/>
      <c r="B56" s="314" t="s">
        <v>82</v>
      </c>
      <c r="C56" s="183" t="s">
        <v>1</v>
      </c>
      <c r="D56" s="184" t="s">
        <v>10</v>
      </c>
      <c r="E56" s="185">
        <f t="shared" ref="E56:F58" si="37">E44+E48+E52</f>
        <v>312856917</v>
      </c>
      <c r="F56" s="185">
        <f t="shared" si="37"/>
        <v>319556917</v>
      </c>
      <c r="G56" s="185">
        <f t="shared" ref="G56:H58" si="38">G44+G48+G52</f>
        <v>0</v>
      </c>
      <c r="H56" s="185">
        <f t="shared" si="38"/>
        <v>319556917</v>
      </c>
      <c r="I56" s="192"/>
      <c r="J56" s="316" t="s">
        <v>67</v>
      </c>
      <c r="K56" s="183" t="s">
        <v>1</v>
      </c>
      <c r="L56" s="184" t="s">
        <v>10</v>
      </c>
      <c r="M56" s="185">
        <f t="shared" ref="M56" si="39">M44+M48+M52</f>
        <v>437078849</v>
      </c>
      <c r="N56" s="185">
        <f t="shared" ref="N56:P58" si="40">N44+N48+N52</f>
        <v>437078849</v>
      </c>
      <c r="O56" s="185">
        <f t="shared" si="40"/>
        <v>194024242</v>
      </c>
      <c r="P56" s="186">
        <f t="shared" si="40"/>
        <v>631103091</v>
      </c>
    </row>
    <row r="57" spans="1:19" s="1" customFormat="1" ht="18" customHeight="1" x14ac:dyDescent="0.2">
      <c r="A57" s="182"/>
      <c r="B57" s="315"/>
      <c r="C57" s="183" t="s">
        <v>2</v>
      </c>
      <c r="D57" s="184" t="s">
        <v>13</v>
      </c>
      <c r="E57" s="185">
        <f t="shared" si="37"/>
        <v>0</v>
      </c>
      <c r="F57" s="185">
        <f t="shared" si="37"/>
        <v>0</v>
      </c>
      <c r="G57" s="185">
        <f t="shared" si="38"/>
        <v>0</v>
      </c>
      <c r="H57" s="185">
        <f t="shared" si="38"/>
        <v>0</v>
      </c>
      <c r="I57" s="192"/>
      <c r="J57" s="316"/>
      <c r="K57" s="183" t="s">
        <v>2</v>
      </c>
      <c r="L57" s="184" t="s">
        <v>13</v>
      </c>
      <c r="M57" s="185">
        <f t="shared" ref="M57" si="41">M45+M49+M53</f>
        <v>0</v>
      </c>
      <c r="N57" s="185">
        <f t="shared" si="40"/>
        <v>0</v>
      </c>
      <c r="O57" s="185">
        <f t="shared" si="40"/>
        <v>0</v>
      </c>
      <c r="P57" s="186">
        <f t="shared" si="40"/>
        <v>0</v>
      </c>
    </row>
    <row r="58" spans="1:19" s="1" customFormat="1" ht="18" customHeight="1" thickBot="1" x14ac:dyDescent="0.25">
      <c r="A58" s="182"/>
      <c r="B58" s="315"/>
      <c r="C58" s="193" t="s">
        <v>4</v>
      </c>
      <c r="D58" s="194" t="s">
        <v>12</v>
      </c>
      <c r="E58" s="188">
        <f t="shared" si="37"/>
        <v>0</v>
      </c>
      <c r="F58" s="188">
        <f t="shared" si="37"/>
        <v>0</v>
      </c>
      <c r="G58" s="188">
        <f t="shared" si="38"/>
        <v>0</v>
      </c>
      <c r="H58" s="188">
        <f t="shared" si="38"/>
        <v>0</v>
      </c>
      <c r="I58" s="192"/>
      <c r="J58" s="317"/>
      <c r="K58" s="193" t="s">
        <v>4</v>
      </c>
      <c r="L58" s="194" t="s">
        <v>12</v>
      </c>
      <c r="M58" s="188">
        <f t="shared" ref="M58" si="42">M46+M50+M54</f>
        <v>0</v>
      </c>
      <c r="N58" s="188">
        <f t="shared" si="40"/>
        <v>0</v>
      </c>
      <c r="O58" s="188">
        <f t="shared" si="40"/>
        <v>0</v>
      </c>
      <c r="P58" s="189">
        <f t="shared" si="40"/>
        <v>0</v>
      </c>
    </row>
    <row r="59" spans="1:19" s="35" customFormat="1" ht="31.5" customHeight="1" thickBot="1" x14ac:dyDescent="0.25">
      <c r="A59" s="318" t="s">
        <v>98</v>
      </c>
      <c r="B59" s="319"/>
      <c r="C59" s="319"/>
      <c r="D59" s="319"/>
      <c r="E59" s="132">
        <f>M55-E55</f>
        <v>124221932</v>
      </c>
      <c r="F59" s="132">
        <f>N55-F55</f>
        <v>117521932</v>
      </c>
      <c r="G59" s="132">
        <f>O55-G55</f>
        <v>194024242</v>
      </c>
      <c r="H59" s="132">
        <f>+P55-H55</f>
        <v>311546174</v>
      </c>
      <c r="I59" s="318" t="s">
        <v>99</v>
      </c>
      <c r="J59" s="319"/>
      <c r="K59" s="319"/>
      <c r="L59" s="319"/>
      <c r="M59" s="133"/>
      <c r="N59" s="133"/>
      <c r="O59" s="134"/>
      <c r="P59" s="135"/>
    </row>
    <row r="60" spans="1:19" s="1" customFormat="1" ht="18" customHeight="1" x14ac:dyDescent="0.2">
      <c r="A60" s="177" t="s">
        <v>40</v>
      </c>
      <c r="B60" s="320" t="s">
        <v>41</v>
      </c>
      <c r="C60" s="321"/>
      <c r="D60" s="322"/>
      <c r="E60" s="195">
        <f>E61+E62+E63</f>
        <v>1166104529</v>
      </c>
      <c r="F60" s="195">
        <f>F61+F62+F63</f>
        <v>1743334045</v>
      </c>
      <c r="G60" s="195">
        <f t="shared" ref="G60:H60" si="43">G61+G62+G63</f>
        <v>152245038</v>
      </c>
      <c r="H60" s="195">
        <f t="shared" si="43"/>
        <v>1895579083</v>
      </c>
      <c r="I60" s="196" t="s">
        <v>40</v>
      </c>
      <c r="J60" s="323" t="s">
        <v>43</v>
      </c>
      <c r="K60" s="324"/>
      <c r="L60" s="324"/>
      <c r="M60" s="197">
        <f>M61+M62+M63</f>
        <v>2936083313</v>
      </c>
      <c r="N60" s="197">
        <f>N61+N62+N63</f>
        <v>3811722074</v>
      </c>
      <c r="O60" s="197">
        <f t="shared" ref="O60:P60" si="44">O61+O62+O63</f>
        <v>152245038</v>
      </c>
      <c r="P60" s="198">
        <f t="shared" si="44"/>
        <v>3963967112</v>
      </c>
      <c r="R60" s="37"/>
      <c r="S60" s="37"/>
    </row>
    <row r="61" spans="1:19" s="1" customFormat="1" ht="18" customHeight="1" x14ac:dyDescent="0.2">
      <c r="A61" s="182"/>
      <c r="B61" s="295" t="s">
        <v>84</v>
      </c>
      <c r="C61" s="183" t="s">
        <v>1</v>
      </c>
      <c r="D61" s="184" t="s">
        <v>10</v>
      </c>
      <c r="E61" s="188">
        <f t="shared" ref="E61" si="45">E37+E56</f>
        <v>1166104529</v>
      </c>
      <c r="F61" s="188">
        <f t="shared" ref="F61:G63" si="46">F37+F56</f>
        <v>1743234045</v>
      </c>
      <c r="G61" s="188">
        <f t="shared" si="46"/>
        <v>152245038</v>
      </c>
      <c r="H61" s="188">
        <f t="shared" ref="H61:H63" si="47">H37+H56</f>
        <v>1895479083</v>
      </c>
      <c r="I61" s="326"/>
      <c r="J61" s="328" t="s">
        <v>83</v>
      </c>
      <c r="K61" s="183" t="s">
        <v>1</v>
      </c>
      <c r="L61" s="184" t="s">
        <v>10</v>
      </c>
      <c r="M61" s="188">
        <f t="shared" ref="M61" si="48">M37+M56</f>
        <v>2930759313</v>
      </c>
      <c r="N61" s="188">
        <f t="shared" ref="N61:P63" si="49">N37+N56</f>
        <v>3804398074</v>
      </c>
      <c r="O61" s="188">
        <f t="shared" si="49"/>
        <v>152195038</v>
      </c>
      <c r="P61" s="189">
        <f t="shared" si="49"/>
        <v>3956593112</v>
      </c>
    </row>
    <row r="62" spans="1:19" s="1" customFormat="1" ht="18" customHeight="1" x14ac:dyDescent="0.2">
      <c r="A62" s="182"/>
      <c r="B62" s="296"/>
      <c r="C62" s="183" t="s">
        <v>2</v>
      </c>
      <c r="D62" s="184" t="s">
        <v>13</v>
      </c>
      <c r="E62" s="188">
        <f t="shared" ref="E62" si="50">E38+E57</f>
        <v>0</v>
      </c>
      <c r="F62" s="188">
        <f t="shared" si="46"/>
        <v>0</v>
      </c>
      <c r="G62" s="188">
        <f t="shared" si="46"/>
        <v>0</v>
      </c>
      <c r="H62" s="188">
        <f t="shared" si="47"/>
        <v>0</v>
      </c>
      <c r="I62" s="326"/>
      <c r="J62" s="328"/>
      <c r="K62" s="183" t="s">
        <v>2</v>
      </c>
      <c r="L62" s="184" t="s">
        <v>13</v>
      </c>
      <c r="M62" s="188">
        <f t="shared" ref="M62" si="51">M38+M57</f>
        <v>5324000</v>
      </c>
      <c r="N62" s="188">
        <f t="shared" si="49"/>
        <v>7324000</v>
      </c>
      <c r="O62" s="188">
        <f t="shared" si="49"/>
        <v>50000</v>
      </c>
      <c r="P62" s="189">
        <f t="shared" si="49"/>
        <v>7374000</v>
      </c>
    </row>
    <row r="63" spans="1:19" s="1" customFormat="1" ht="18" customHeight="1" x14ac:dyDescent="0.2">
      <c r="A63" s="187"/>
      <c r="B63" s="325"/>
      <c r="C63" s="183" t="s">
        <v>4</v>
      </c>
      <c r="D63" s="184" t="s">
        <v>12</v>
      </c>
      <c r="E63" s="185">
        <f t="shared" ref="E63" si="52">E39+E58</f>
        <v>0</v>
      </c>
      <c r="F63" s="185">
        <f t="shared" si="46"/>
        <v>100000</v>
      </c>
      <c r="G63" s="185">
        <f t="shared" si="46"/>
        <v>0</v>
      </c>
      <c r="H63" s="185">
        <f t="shared" si="47"/>
        <v>100000</v>
      </c>
      <c r="I63" s="327"/>
      <c r="J63" s="328"/>
      <c r="K63" s="183" t="s">
        <v>4</v>
      </c>
      <c r="L63" s="184" t="s">
        <v>12</v>
      </c>
      <c r="M63" s="185">
        <f t="shared" ref="M63" si="53">M39+M58</f>
        <v>0</v>
      </c>
      <c r="N63" s="185">
        <f t="shared" si="49"/>
        <v>0</v>
      </c>
      <c r="O63" s="185">
        <f t="shared" si="49"/>
        <v>0</v>
      </c>
      <c r="P63" s="186">
        <f t="shared" si="49"/>
        <v>0</v>
      </c>
    </row>
    <row r="64" spans="1:19" s="11" customFormat="1" ht="30" customHeight="1" thickBot="1" x14ac:dyDescent="0.25">
      <c r="A64" s="311" t="s">
        <v>71</v>
      </c>
      <c r="B64" s="312"/>
      <c r="C64" s="312"/>
      <c r="D64" s="313"/>
      <c r="E64" s="117">
        <f>+M60-E60</f>
        <v>1769978784</v>
      </c>
      <c r="F64" s="117">
        <f>+N60-F60</f>
        <v>2068388029</v>
      </c>
      <c r="G64" s="117">
        <f>+O60-G60</f>
        <v>0</v>
      </c>
      <c r="H64" s="117">
        <f>+P60-H60</f>
        <v>2068388029</v>
      </c>
      <c r="I64" s="311" t="s">
        <v>72</v>
      </c>
      <c r="J64" s="312"/>
      <c r="K64" s="312"/>
      <c r="L64" s="313"/>
      <c r="M64" s="121"/>
      <c r="N64" s="121"/>
      <c r="O64" s="121"/>
      <c r="P64" s="122"/>
    </row>
    <row r="65" spans="1:16" s="1" customFormat="1" ht="18" customHeight="1" x14ac:dyDescent="0.2">
      <c r="A65" s="34" t="s">
        <v>44</v>
      </c>
      <c r="B65" s="299" t="s">
        <v>42</v>
      </c>
      <c r="C65" s="300"/>
      <c r="D65" s="301"/>
      <c r="E65" s="111">
        <f>E66+E67+E68</f>
        <v>1785602784</v>
      </c>
      <c r="F65" s="111">
        <f>F66+F67+F68</f>
        <v>2284012029</v>
      </c>
      <c r="G65" s="111">
        <f>G66+G67+G68</f>
        <v>800000000</v>
      </c>
      <c r="H65" s="111">
        <f>H66+H67+H68</f>
        <v>3084012029</v>
      </c>
      <c r="I65" s="44" t="s">
        <v>44</v>
      </c>
      <c r="J65" s="302" t="s">
        <v>56</v>
      </c>
      <c r="K65" s="303"/>
      <c r="L65" s="304"/>
      <c r="M65" s="112">
        <f>M66+M67+M68</f>
        <v>15624000</v>
      </c>
      <c r="N65" s="112">
        <f>N66+N67+N68</f>
        <v>215624000</v>
      </c>
      <c r="O65" s="112">
        <f>O66+O67+O68</f>
        <v>800000000</v>
      </c>
      <c r="P65" s="113">
        <f>P66+P67+P68</f>
        <v>1015624000</v>
      </c>
    </row>
    <row r="66" spans="1:16" s="1" customFormat="1" ht="18" customHeight="1" x14ac:dyDescent="0.2">
      <c r="A66" s="27"/>
      <c r="B66" s="308" t="s">
        <v>73</v>
      </c>
      <c r="C66" s="24" t="s">
        <v>1</v>
      </c>
      <c r="D66" s="25" t="s">
        <v>85</v>
      </c>
      <c r="E66" s="100">
        <f>+'2.'!E66+'3.'!E66</f>
        <v>1785602784</v>
      </c>
      <c r="F66" s="100">
        <f>+'2.'!F66+'3.'!F66</f>
        <v>2084012029</v>
      </c>
      <c r="G66" s="100">
        <f>+'2.'!G66+'3.'!G66</f>
        <v>0</v>
      </c>
      <c r="H66" s="102">
        <f>+G66+F66</f>
        <v>2084012029</v>
      </c>
      <c r="I66" s="27"/>
      <c r="J66" s="308" t="s">
        <v>68</v>
      </c>
      <c r="K66" s="24" t="s">
        <v>1</v>
      </c>
      <c r="L66" s="25" t="s">
        <v>88</v>
      </c>
      <c r="M66" s="100">
        <v>0</v>
      </c>
      <c r="N66" s="100">
        <v>0</v>
      </c>
      <c r="O66" s="100">
        <v>0</v>
      </c>
      <c r="P66" s="102">
        <f>+O66+N66</f>
        <v>0</v>
      </c>
    </row>
    <row r="67" spans="1:16" s="1" customFormat="1" ht="30" customHeight="1" x14ac:dyDescent="0.2">
      <c r="A67" s="27"/>
      <c r="B67" s="309"/>
      <c r="C67" s="24" t="s">
        <v>2</v>
      </c>
      <c r="D67" s="294" t="s">
        <v>86</v>
      </c>
      <c r="E67" s="100">
        <f>+'2.'!E67</f>
        <v>0</v>
      </c>
      <c r="F67" s="100">
        <f>+'2.'!F67</f>
        <v>0</v>
      </c>
      <c r="G67" s="100">
        <f>+'2.'!G67</f>
        <v>0</v>
      </c>
      <c r="H67" s="102">
        <f>+G67+F67</f>
        <v>0</v>
      </c>
      <c r="I67" s="27"/>
      <c r="J67" s="309"/>
      <c r="K67" s="24" t="s">
        <v>2</v>
      </c>
      <c r="L67" s="294" t="s">
        <v>87</v>
      </c>
      <c r="M67" s="100">
        <f>+'2.'!M67+'3.'!M67</f>
        <v>15624000</v>
      </c>
      <c r="N67" s="100">
        <f>+'2.'!N67+'3.'!N67</f>
        <v>15624000</v>
      </c>
      <c r="O67" s="100">
        <f>+'2.'!O67+'3.'!O67</f>
        <v>0</v>
      </c>
      <c r="P67" s="102">
        <f>+O67+N67</f>
        <v>15624000</v>
      </c>
    </row>
    <row r="68" spans="1:16" s="1" customFormat="1" ht="18" customHeight="1" x14ac:dyDescent="0.2">
      <c r="A68" s="27"/>
      <c r="B68" s="310"/>
      <c r="C68" s="24" t="s">
        <v>4</v>
      </c>
      <c r="D68" s="25" t="s">
        <v>223</v>
      </c>
      <c r="E68" s="100">
        <f>+'2.'!E68</f>
        <v>0</v>
      </c>
      <c r="F68" s="100">
        <f>+'2.'!F68</f>
        <v>200000000</v>
      </c>
      <c r="G68" s="100">
        <f>+'2.'!G68</f>
        <v>800000000</v>
      </c>
      <c r="H68" s="102">
        <f>+G68+F68</f>
        <v>1000000000</v>
      </c>
      <c r="I68" s="27"/>
      <c r="J68" s="310"/>
      <c r="K68" s="24" t="s">
        <v>4</v>
      </c>
      <c r="L68" s="25" t="s">
        <v>222</v>
      </c>
      <c r="M68" s="100">
        <f>+'2.'!M68</f>
        <v>0</v>
      </c>
      <c r="N68" s="100">
        <f>+'2.'!N68</f>
        <v>200000000</v>
      </c>
      <c r="O68" s="100">
        <f>+'2.'!O68</f>
        <v>800000000</v>
      </c>
      <c r="P68" s="102">
        <f>+O68+N68</f>
        <v>1000000000</v>
      </c>
    </row>
    <row r="69" spans="1:16" s="7" customFormat="1" ht="18" customHeight="1" x14ac:dyDescent="0.2">
      <c r="A69" s="190" t="s">
        <v>45</v>
      </c>
      <c r="B69" s="305" t="s">
        <v>29</v>
      </c>
      <c r="C69" s="306"/>
      <c r="D69" s="307"/>
      <c r="E69" s="180">
        <f>E70+E71+E72</f>
        <v>2951707313</v>
      </c>
      <c r="F69" s="180">
        <f>F70+F71+F72</f>
        <v>4027346074</v>
      </c>
      <c r="G69" s="180">
        <f t="shared" ref="G69:H69" si="54">G70+G71+G72</f>
        <v>952245038</v>
      </c>
      <c r="H69" s="180">
        <f t="shared" si="54"/>
        <v>4979591112</v>
      </c>
      <c r="I69" s="191" t="s">
        <v>45</v>
      </c>
      <c r="J69" s="305" t="s">
        <v>30</v>
      </c>
      <c r="K69" s="306"/>
      <c r="L69" s="307"/>
      <c r="M69" s="180">
        <f>M70+M71+M72</f>
        <v>2951707313</v>
      </c>
      <c r="N69" s="180">
        <f>N70+N71+N72</f>
        <v>4027346074</v>
      </c>
      <c r="O69" s="180">
        <f t="shared" ref="O69:P69" si="55">O70+O71+O72</f>
        <v>952245038</v>
      </c>
      <c r="P69" s="181">
        <f t="shared" si="55"/>
        <v>4979591112</v>
      </c>
    </row>
    <row r="70" spans="1:16" s="7" customFormat="1" ht="18" customHeight="1" x14ac:dyDescent="0.2">
      <c r="A70" s="199"/>
      <c r="B70" s="295" t="s">
        <v>70</v>
      </c>
      <c r="C70" s="183" t="s">
        <v>1</v>
      </c>
      <c r="D70" s="184" t="s">
        <v>10</v>
      </c>
      <c r="E70" s="185">
        <f>E61+E66+E67+E68</f>
        <v>2951707313</v>
      </c>
      <c r="F70" s="185">
        <f>F61+F66+F67+F68</f>
        <v>4027246074</v>
      </c>
      <c r="G70" s="185">
        <f t="shared" ref="G70:H70" si="56">G61+G66+G67+G68</f>
        <v>952245038</v>
      </c>
      <c r="H70" s="185">
        <f t="shared" si="56"/>
        <v>4979491112</v>
      </c>
      <c r="I70" s="200"/>
      <c r="J70" s="295" t="s">
        <v>69</v>
      </c>
      <c r="K70" s="183" t="s">
        <v>1</v>
      </c>
      <c r="L70" s="184" t="s">
        <v>10</v>
      </c>
      <c r="M70" s="185">
        <f>M61+M66+M67+M68</f>
        <v>2946383313</v>
      </c>
      <c r="N70" s="185">
        <f>N61+N66+N67+N68</f>
        <v>4020022074</v>
      </c>
      <c r="O70" s="185">
        <f t="shared" ref="O70:P70" si="57">O61+O66+O67+O68</f>
        <v>952195038</v>
      </c>
      <c r="P70" s="186">
        <f t="shared" si="57"/>
        <v>4972217112</v>
      </c>
    </row>
    <row r="71" spans="1:16" s="7" customFormat="1" ht="18" customHeight="1" x14ac:dyDescent="0.2">
      <c r="A71" s="199"/>
      <c r="B71" s="296"/>
      <c r="C71" s="183" t="s">
        <v>2</v>
      </c>
      <c r="D71" s="184" t="s">
        <v>13</v>
      </c>
      <c r="E71" s="185">
        <f>E62</f>
        <v>0</v>
      </c>
      <c r="F71" s="185">
        <f>F62</f>
        <v>0</v>
      </c>
      <c r="G71" s="185">
        <f t="shared" ref="G71:H72" si="58">G62</f>
        <v>0</v>
      </c>
      <c r="H71" s="185">
        <f t="shared" si="58"/>
        <v>0</v>
      </c>
      <c r="I71" s="200"/>
      <c r="J71" s="296"/>
      <c r="K71" s="183" t="s">
        <v>2</v>
      </c>
      <c r="L71" s="184" t="s">
        <v>13</v>
      </c>
      <c r="M71" s="185">
        <f t="shared" ref="M71" si="59">M62</f>
        <v>5324000</v>
      </c>
      <c r="N71" s="185">
        <f t="shared" ref="N71:P72" si="60">N62</f>
        <v>7324000</v>
      </c>
      <c r="O71" s="185">
        <f t="shared" si="60"/>
        <v>50000</v>
      </c>
      <c r="P71" s="186">
        <f t="shared" si="60"/>
        <v>7374000</v>
      </c>
    </row>
    <row r="72" spans="1:16" s="7" customFormat="1" ht="18" customHeight="1" thickBot="1" x14ac:dyDescent="0.25">
      <c r="A72" s="201"/>
      <c r="B72" s="297"/>
      <c r="C72" s="202" t="s">
        <v>4</v>
      </c>
      <c r="D72" s="203" t="s">
        <v>12</v>
      </c>
      <c r="E72" s="204">
        <f>E63</f>
        <v>0</v>
      </c>
      <c r="F72" s="204">
        <f>F63</f>
        <v>100000</v>
      </c>
      <c r="G72" s="204">
        <f t="shared" si="58"/>
        <v>0</v>
      </c>
      <c r="H72" s="204">
        <f t="shared" si="58"/>
        <v>100000</v>
      </c>
      <c r="I72" s="205"/>
      <c r="J72" s="297"/>
      <c r="K72" s="202" t="s">
        <v>4</v>
      </c>
      <c r="L72" s="203" t="s">
        <v>12</v>
      </c>
      <c r="M72" s="204">
        <f t="shared" ref="M72" si="61">M63</f>
        <v>0</v>
      </c>
      <c r="N72" s="204">
        <f t="shared" si="60"/>
        <v>0</v>
      </c>
      <c r="O72" s="204">
        <f t="shared" si="60"/>
        <v>0</v>
      </c>
      <c r="P72" s="206">
        <f t="shared" si="60"/>
        <v>0</v>
      </c>
    </row>
    <row r="75" spans="1:16" x14ac:dyDescent="0.2">
      <c r="A75" s="298"/>
      <c r="B75" s="298"/>
      <c r="C75" s="298"/>
      <c r="D75" s="298"/>
      <c r="E75" s="298"/>
      <c r="F75" s="298"/>
      <c r="G75" s="20"/>
      <c r="H75" s="20"/>
    </row>
  </sheetData>
  <sheetProtection formatCells="0"/>
  <mergeCells count="78">
    <mergeCell ref="A7:P7"/>
    <mergeCell ref="L1:P1"/>
    <mergeCell ref="A4:P4"/>
    <mergeCell ref="A5:P5"/>
    <mergeCell ref="A6:P6"/>
    <mergeCell ref="L2:P2"/>
    <mergeCell ref="A8:P8"/>
    <mergeCell ref="D9:L9"/>
    <mergeCell ref="A10:F10"/>
    <mergeCell ref="I10:P10"/>
    <mergeCell ref="C11:D11"/>
    <mergeCell ref="K11:L11"/>
    <mergeCell ref="A12:P12"/>
    <mergeCell ref="B13:D13"/>
    <mergeCell ref="J13:L13"/>
    <mergeCell ref="B14:B17"/>
    <mergeCell ref="C14:D14"/>
    <mergeCell ref="J14:J17"/>
    <mergeCell ref="K14:L14"/>
    <mergeCell ref="B18:B21"/>
    <mergeCell ref="C18:D18"/>
    <mergeCell ref="J18:J21"/>
    <mergeCell ref="K18:L18"/>
    <mergeCell ref="B22:B25"/>
    <mergeCell ref="C22:D22"/>
    <mergeCell ref="J22:J25"/>
    <mergeCell ref="K22:L22"/>
    <mergeCell ref="A40:D40"/>
    <mergeCell ref="I40:L40"/>
    <mergeCell ref="B26:B29"/>
    <mergeCell ref="C26:D26"/>
    <mergeCell ref="J26:J29"/>
    <mergeCell ref="K26:L26"/>
    <mergeCell ref="A30:H35"/>
    <mergeCell ref="J30:J35"/>
    <mergeCell ref="K30:L30"/>
    <mergeCell ref="B36:D36"/>
    <mergeCell ref="J36:L36"/>
    <mergeCell ref="B37:B39"/>
    <mergeCell ref="I37:I39"/>
    <mergeCell ref="J37:J39"/>
    <mergeCell ref="A41:P41"/>
    <mergeCell ref="B42:D42"/>
    <mergeCell ref="J42:L42"/>
    <mergeCell ref="B43:B46"/>
    <mergeCell ref="C43:D43"/>
    <mergeCell ref="J43:J46"/>
    <mergeCell ref="K43:L43"/>
    <mergeCell ref="B47:B50"/>
    <mergeCell ref="C47:D47"/>
    <mergeCell ref="J47:J50"/>
    <mergeCell ref="K47:L47"/>
    <mergeCell ref="B51:B54"/>
    <mergeCell ref="C51:D51"/>
    <mergeCell ref="J51:J54"/>
    <mergeCell ref="K51:L51"/>
    <mergeCell ref="A64:D64"/>
    <mergeCell ref="I64:L64"/>
    <mergeCell ref="B55:D55"/>
    <mergeCell ref="J55:L55"/>
    <mergeCell ref="B56:B58"/>
    <mergeCell ref="J56:J58"/>
    <mergeCell ref="A59:D59"/>
    <mergeCell ref="I59:L59"/>
    <mergeCell ref="B60:D60"/>
    <mergeCell ref="J60:L60"/>
    <mergeCell ref="B61:B63"/>
    <mergeCell ref="I61:I63"/>
    <mergeCell ref="J61:J63"/>
    <mergeCell ref="B70:B72"/>
    <mergeCell ref="J70:J72"/>
    <mergeCell ref="A75:F75"/>
    <mergeCell ref="B65:D65"/>
    <mergeCell ref="J65:L65"/>
    <mergeCell ref="B69:D69"/>
    <mergeCell ref="J69:L69"/>
    <mergeCell ref="J66:J68"/>
    <mergeCell ref="B66:B68"/>
  </mergeCells>
  <printOptions horizontalCentered="1"/>
  <pageMargins left="0.19685039370078741" right="0.19685039370078741" top="3.937007874015748E-2" bottom="0" header="0.43307086614173229" footer="0.51181102362204722"/>
  <pageSetup paperSize="9" scale="69" orientation="landscape" r:id="rId1"/>
  <headerFooter alignWithMargins="0"/>
  <rowBreaks count="1" manualBreakCount="1">
    <brk id="4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V75"/>
  <sheetViews>
    <sheetView topLeftCell="A25" zoomScaleNormal="100" workbookViewId="0">
      <selection activeCell="R39" sqref="R39"/>
    </sheetView>
  </sheetViews>
  <sheetFormatPr defaultColWidth="9.140625" defaultRowHeight="12.75" x14ac:dyDescent="0.2"/>
  <cols>
    <col min="1" max="1" width="5.5703125" style="20" customWidth="1"/>
    <col min="2" max="2" width="4.28515625" style="20" customWidth="1"/>
    <col min="3" max="3" width="3.7109375" style="3" customWidth="1"/>
    <col min="4" max="4" width="31.7109375" style="3" customWidth="1"/>
    <col min="5" max="8" width="14.7109375" style="5" customWidth="1"/>
    <col min="9" max="9" width="6.5703125" style="16" customWidth="1"/>
    <col min="10" max="10" width="4.28515625" style="16" customWidth="1"/>
    <col min="11" max="11" width="3.7109375" style="16" customWidth="1"/>
    <col min="12" max="12" width="31.7109375" style="3" customWidth="1"/>
    <col min="13" max="15" width="14.7109375" style="3" customWidth="1"/>
    <col min="16" max="16" width="14.7109375" style="5" customWidth="1"/>
    <col min="17" max="17" width="9.140625" style="3"/>
    <col min="18" max="18" width="11" style="3" bestFit="1" customWidth="1"/>
    <col min="19" max="16384" width="9.140625" style="3"/>
  </cols>
  <sheetData>
    <row r="1" spans="1:22" ht="14.25" x14ac:dyDescent="0.2">
      <c r="L1" s="381" t="s">
        <v>199</v>
      </c>
      <c r="M1" s="381"/>
      <c r="N1" s="381"/>
      <c r="O1" s="381"/>
      <c r="P1" s="381"/>
      <c r="R1" s="43"/>
      <c r="S1" s="43"/>
      <c r="T1" s="43"/>
      <c r="U1" s="43"/>
      <c r="V1" s="43"/>
    </row>
    <row r="2" spans="1:22" ht="14.25" x14ac:dyDescent="0.2">
      <c r="L2" s="381" t="s">
        <v>200</v>
      </c>
      <c r="M2" s="381"/>
      <c r="N2" s="381"/>
      <c r="O2" s="381"/>
      <c r="P2" s="381"/>
      <c r="Q2" s="43"/>
      <c r="R2" s="43"/>
      <c r="S2" s="43"/>
      <c r="T2" s="43"/>
      <c r="U2" s="43"/>
      <c r="V2" s="43"/>
    </row>
    <row r="3" spans="1:22" ht="14.25" x14ac:dyDescent="0.2">
      <c r="L3" s="46"/>
      <c r="M3" s="46"/>
      <c r="N3" s="46"/>
      <c r="O3" s="46"/>
      <c r="P3" s="46"/>
      <c r="Q3" s="43"/>
      <c r="R3" s="43"/>
      <c r="S3" s="43"/>
      <c r="T3" s="43"/>
      <c r="U3" s="43"/>
      <c r="V3" s="43"/>
    </row>
    <row r="4" spans="1:22" ht="15.95" customHeight="1" x14ac:dyDescent="0.25">
      <c r="A4" s="372" t="s">
        <v>162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" t="s">
        <v>39</v>
      </c>
    </row>
    <row r="5" spans="1:22" ht="15.95" customHeight="1" x14ac:dyDescent="0.25">
      <c r="A5" s="372" t="s">
        <v>27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</row>
    <row r="6" spans="1:22" ht="15.95" customHeight="1" x14ac:dyDescent="0.25">
      <c r="A6" s="372" t="s">
        <v>50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</row>
    <row r="7" spans="1:22" ht="15.95" customHeight="1" x14ac:dyDescent="0.25">
      <c r="A7" s="372" t="s">
        <v>194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</row>
    <row r="8" spans="1:22" ht="15.95" customHeight="1" x14ac:dyDescent="0.25">
      <c r="A8" s="372" t="s">
        <v>246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</row>
    <row r="9" spans="1:22" ht="15.95" customHeight="1" thickBot="1" x14ac:dyDescent="0.35">
      <c r="D9" s="382"/>
      <c r="E9" s="382"/>
      <c r="F9" s="382"/>
      <c r="G9" s="382"/>
      <c r="H9" s="382"/>
      <c r="I9" s="382"/>
      <c r="J9" s="382"/>
      <c r="K9" s="382"/>
      <c r="L9" s="382"/>
      <c r="M9" s="45"/>
      <c r="N9" s="45"/>
      <c r="O9" s="45"/>
      <c r="P9" s="14" t="s">
        <v>155</v>
      </c>
    </row>
    <row r="10" spans="1:22" s="6" customFormat="1" ht="21.95" customHeight="1" x14ac:dyDescent="0.2">
      <c r="A10" s="374" t="s">
        <v>48</v>
      </c>
      <c r="B10" s="375"/>
      <c r="C10" s="375"/>
      <c r="D10" s="375"/>
      <c r="E10" s="375"/>
      <c r="F10" s="375"/>
      <c r="G10" s="94"/>
      <c r="H10" s="94"/>
      <c r="I10" s="374" t="s">
        <v>49</v>
      </c>
      <c r="J10" s="375"/>
      <c r="K10" s="375"/>
      <c r="L10" s="375"/>
      <c r="M10" s="375"/>
      <c r="N10" s="375"/>
      <c r="O10" s="375"/>
      <c r="P10" s="376"/>
    </row>
    <row r="11" spans="1:22" s="6" customFormat="1" ht="35.1" customHeight="1" thickBot="1" x14ac:dyDescent="0.25">
      <c r="A11" s="292" t="s">
        <v>90</v>
      </c>
      <c r="B11" s="293" t="s">
        <v>253</v>
      </c>
      <c r="C11" s="377"/>
      <c r="D11" s="378"/>
      <c r="E11" s="95" t="s">
        <v>38</v>
      </c>
      <c r="F11" s="95" t="s">
        <v>104</v>
      </c>
      <c r="G11" s="96" t="s">
        <v>140</v>
      </c>
      <c r="H11" s="96" t="s">
        <v>141</v>
      </c>
      <c r="I11" s="292" t="s">
        <v>90</v>
      </c>
      <c r="J11" s="293" t="s">
        <v>253</v>
      </c>
      <c r="K11" s="379"/>
      <c r="L11" s="380"/>
      <c r="M11" s="95" t="s">
        <v>38</v>
      </c>
      <c r="N11" s="95" t="s">
        <v>104</v>
      </c>
      <c r="O11" s="96" t="s">
        <v>140</v>
      </c>
      <c r="P11" s="97" t="s">
        <v>141</v>
      </c>
    </row>
    <row r="12" spans="1:22" s="1" customFormat="1" ht="18" customHeight="1" x14ac:dyDescent="0.2">
      <c r="A12" s="340" t="s">
        <v>47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2"/>
    </row>
    <row r="13" spans="1:22" s="2" customFormat="1" ht="18" customHeight="1" x14ac:dyDescent="0.2">
      <c r="A13" s="21" t="s">
        <v>0</v>
      </c>
      <c r="B13" s="343" t="s">
        <v>46</v>
      </c>
      <c r="C13" s="344"/>
      <c r="D13" s="345"/>
      <c r="E13" s="98">
        <f>E14+E18+E22+E26</f>
        <v>852287612</v>
      </c>
      <c r="F13" s="98">
        <f>F14+F18+F22+F26</f>
        <v>1421700128</v>
      </c>
      <c r="G13" s="98">
        <f t="shared" ref="G13:H13" si="0">G14+G18+G22+G26</f>
        <v>151590738</v>
      </c>
      <c r="H13" s="98">
        <f t="shared" si="0"/>
        <v>1573290866</v>
      </c>
      <c r="I13" s="33" t="s">
        <v>0</v>
      </c>
      <c r="J13" s="369" t="s">
        <v>21</v>
      </c>
      <c r="K13" s="370"/>
      <c r="L13" s="371"/>
      <c r="M13" s="103">
        <f>M14+M18+M22+M30+M26</f>
        <v>1981494959</v>
      </c>
      <c r="N13" s="103">
        <f>N14+N18+N22+N30+N26</f>
        <v>2831732131</v>
      </c>
      <c r="O13" s="103">
        <f t="shared" ref="O13:P13" si="1">O14+O18+O22+O30+O26</f>
        <v>-5460804</v>
      </c>
      <c r="P13" s="105">
        <f t="shared" si="1"/>
        <v>2826271327</v>
      </c>
    </row>
    <row r="14" spans="1:22" s="1" customFormat="1" ht="30" customHeight="1" x14ac:dyDescent="0.2">
      <c r="A14" s="22"/>
      <c r="B14" s="329" t="s">
        <v>62</v>
      </c>
      <c r="C14" s="332" t="s">
        <v>53</v>
      </c>
      <c r="D14" s="333"/>
      <c r="E14" s="98">
        <f>E15+E16+E17</f>
        <v>517118252</v>
      </c>
      <c r="F14" s="98">
        <f>F15+F16+F17</f>
        <v>1075202239</v>
      </c>
      <c r="G14" s="98">
        <f t="shared" ref="G14:H14" si="2">G15+G16+G17</f>
        <v>86475738</v>
      </c>
      <c r="H14" s="98">
        <f t="shared" si="2"/>
        <v>1161677977</v>
      </c>
      <c r="I14" s="18"/>
      <c r="J14" s="334" t="s">
        <v>57</v>
      </c>
      <c r="K14" s="354" t="s">
        <v>17</v>
      </c>
      <c r="L14" s="354"/>
      <c r="M14" s="98">
        <f>M15+M16+M17</f>
        <v>530855119</v>
      </c>
      <c r="N14" s="98">
        <f>N15+N16+N17</f>
        <v>532023119</v>
      </c>
      <c r="O14" s="98">
        <f t="shared" ref="O14:P14" si="3">O15+O16+O17</f>
        <v>-1982874</v>
      </c>
      <c r="P14" s="106">
        <f t="shared" si="3"/>
        <v>530040245</v>
      </c>
    </row>
    <row r="15" spans="1:22" s="1" customFormat="1" ht="18" customHeight="1" x14ac:dyDescent="0.2">
      <c r="A15" s="22"/>
      <c r="B15" s="330"/>
      <c r="C15" s="24" t="s">
        <v>1</v>
      </c>
      <c r="D15" s="25" t="s">
        <v>10</v>
      </c>
      <c r="E15" s="100">
        <v>517118252</v>
      </c>
      <c r="F15" s="100">
        <v>1075202239</v>
      </c>
      <c r="G15" s="101">
        <f>45211738+41264000</f>
        <v>86475738</v>
      </c>
      <c r="H15" s="102">
        <f>+G15+F15</f>
        <v>1161677977</v>
      </c>
      <c r="I15" s="18"/>
      <c r="J15" s="335"/>
      <c r="K15" s="24" t="s">
        <v>1</v>
      </c>
      <c r="L15" s="25" t="s">
        <v>10</v>
      </c>
      <c r="M15" s="100">
        <v>530705119</v>
      </c>
      <c r="N15" s="100">
        <v>531873119</v>
      </c>
      <c r="O15" s="107">
        <f>1500000+1000000-1200000-5000000</f>
        <v>-3700000</v>
      </c>
      <c r="P15" s="102">
        <f>+O15+N15</f>
        <v>528173119</v>
      </c>
    </row>
    <row r="16" spans="1:22" s="1" customFormat="1" ht="18" customHeight="1" x14ac:dyDescent="0.2">
      <c r="A16" s="22"/>
      <c r="B16" s="330"/>
      <c r="C16" s="24" t="s">
        <v>2</v>
      </c>
      <c r="D16" s="25" t="s">
        <v>13</v>
      </c>
      <c r="E16" s="100">
        <v>0</v>
      </c>
      <c r="F16" s="100">
        <v>0</v>
      </c>
      <c r="G16" s="101">
        <v>0</v>
      </c>
      <c r="H16" s="102">
        <f t="shared" ref="H16:H25" si="4">+G16+F16</f>
        <v>0</v>
      </c>
      <c r="I16" s="18"/>
      <c r="J16" s="335"/>
      <c r="K16" s="24" t="s">
        <v>2</v>
      </c>
      <c r="L16" s="25" t="s">
        <v>13</v>
      </c>
      <c r="M16" s="100">
        <v>150000</v>
      </c>
      <c r="N16" s="100">
        <v>150000</v>
      </c>
      <c r="O16" s="107">
        <f>1717126</f>
        <v>1717126</v>
      </c>
      <c r="P16" s="102">
        <f t="shared" ref="P16:P17" si="5">+O16+N16</f>
        <v>1867126</v>
      </c>
    </row>
    <row r="17" spans="1:18" s="1" customFormat="1" ht="18" customHeight="1" x14ac:dyDescent="0.2">
      <c r="A17" s="22"/>
      <c r="B17" s="331"/>
      <c r="C17" s="24" t="s">
        <v>4</v>
      </c>
      <c r="D17" s="25" t="s">
        <v>12</v>
      </c>
      <c r="E17" s="100">
        <v>0</v>
      </c>
      <c r="F17" s="100">
        <v>0</v>
      </c>
      <c r="G17" s="101">
        <v>0</v>
      </c>
      <c r="H17" s="102">
        <f t="shared" si="4"/>
        <v>0</v>
      </c>
      <c r="I17" s="18"/>
      <c r="J17" s="336"/>
      <c r="K17" s="24" t="s">
        <v>4</v>
      </c>
      <c r="L17" s="25" t="s">
        <v>12</v>
      </c>
      <c r="M17" s="100">
        <v>0</v>
      </c>
      <c r="N17" s="100">
        <v>0</v>
      </c>
      <c r="O17" s="107">
        <v>0</v>
      </c>
      <c r="P17" s="102">
        <f t="shared" si="5"/>
        <v>0</v>
      </c>
    </row>
    <row r="18" spans="1:18" s="1" customFormat="1" ht="30" customHeight="1" x14ac:dyDescent="0.2">
      <c r="A18" s="22"/>
      <c r="B18" s="329" t="s">
        <v>75</v>
      </c>
      <c r="C18" s="332" t="s">
        <v>6</v>
      </c>
      <c r="D18" s="333"/>
      <c r="E18" s="98">
        <f>E19+E20+E21</f>
        <v>0</v>
      </c>
      <c r="F18" s="98">
        <f>F19+F20+F21</f>
        <v>0</v>
      </c>
      <c r="G18" s="98">
        <f t="shared" ref="G18:H18" si="6">G19+G20+G21</f>
        <v>0</v>
      </c>
      <c r="H18" s="98">
        <f t="shared" si="6"/>
        <v>0</v>
      </c>
      <c r="I18" s="18"/>
      <c r="J18" s="334" t="s">
        <v>58</v>
      </c>
      <c r="K18" s="339" t="s">
        <v>20</v>
      </c>
      <c r="L18" s="339"/>
      <c r="M18" s="98">
        <f>M19+M20+M21</f>
        <v>27727174</v>
      </c>
      <c r="N18" s="98">
        <f>N19+N20+N21</f>
        <v>27727174</v>
      </c>
      <c r="O18" s="98">
        <f>O19+O20+O21</f>
        <v>-591843</v>
      </c>
      <c r="P18" s="106">
        <f>P19+P20+P21</f>
        <v>27135331</v>
      </c>
    </row>
    <row r="19" spans="1:18" s="1" customFormat="1" ht="18" customHeight="1" x14ac:dyDescent="0.2">
      <c r="A19" s="22"/>
      <c r="B19" s="330"/>
      <c r="C19" s="24" t="s">
        <v>1</v>
      </c>
      <c r="D19" s="25" t="s">
        <v>10</v>
      </c>
      <c r="E19" s="100">
        <v>0</v>
      </c>
      <c r="F19" s="100">
        <v>0</v>
      </c>
      <c r="G19" s="101">
        <v>0</v>
      </c>
      <c r="H19" s="102">
        <f t="shared" si="4"/>
        <v>0</v>
      </c>
      <c r="I19" s="18"/>
      <c r="J19" s="335"/>
      <c r="K19" s="24" t="s">
        <v>1</v>
      </c>
      <c r="L19" s="25" t="s">
        <v>10</v>
      </c>
      <c r="M19" s="100">
        <v>27707674</v>
      </c>
      <c r="N19" s="100">
        <v>27707674</v>
      </c>
      <c r="O19" s="107">
        <f>-250000-1000000</f>
        <v>-1250000</v>
      </c>
      <c r="P19" s="102">
        <f>+O19+N19</f>
        <v>26457674</v>
      </c>
    </row>
    <row r="20" spans="1:18" s="1" customFormat="1" ht="18" customHeight="1" x14ac:dyDescent="0.2">
      <c r="A20" s="22"/>
      <c r="B20" s="330"/>
      <c r="C20" s="24" t="s">
        <v>2</v>
      </c>
      <c r="D20" s="25" t="s">
        <v>13</v>
      </c>
      <c r="E20" s="100">
        <v>0</v>
      </c>
      <c r="F20" s="100">
        <v>0</v>
      </c>
      <c r="G20" s="101">
        <v>0</v>
      </c>
      <c r="H20" s="102">
        <f t="shared" si="4"/>
        <v>0</v>
      </c>
      <c r="I20" s="18"/>
      <c r="J20" s="335"/>
      <c r="K20" s="24" t="s">
        <v>2</v>
      </c>
      <c r="L20" s="25" t="s">
        <v>13</v>
      </c>
      <c r="M20" s="100">
        <v>19500</v>
      </c>
      <c r="N20" s="100">
        <v>19500</v>
      </c>
      <c r="O20" s="107">
        <f>658157</f>
        <v>658157</v>
      </c>
      <c r="P20" s="102">
        <f t="shared" ref="P20:P21" si="7">+O20+N20</f>
        <v>677657</v>
      </c>
    </row>
    <row r="21" spans="1:18" s="1" customFormat="1" ht="18" customHeight="1" x14ac:dyDescent="0.2">
      <c r="A21" s="22"/>
      <c r="B21" s="331"/>
      <c r="C21" s="24" t="s">
        <v>4</v>
      </c>
      <c r="D21" s="25" t="s">
        <v>12</v>
      </c>
      <c r="E21" s="100">
        <v>0</v>
      </c>
      <c r="F21" s="100">
        <v>0</v>
      </c>
      <c r="G21" s="101">
        <v>0</v>
      </c>
      <c r="H21" s="102">
        <f t="shared" si="4"/>
        <v>0</v>
      </c>
      <c r="I21" s="18"/>
      <c r="J21" s="336"/>
      <c r="K21" s="24" t="s">
        <v>4</v>
      </c>
      <c r="L21" s="25" t="s">
        <v>12</v>
      </c>
      <c r="M21" s="100">
        <v>0</v>
      </c>
      <c r="N21" s="100">
        <v>0</v>
      </c>
      <c r="O21" s="107">
        <v>0</v>
      </c>
      <c r="P21" s="102">
        <f t="shared" si="7"/>
        <v>0</v>
      </c>
    </row>
    <row r="22" spans="1:18" s="1" customFormat="1" ht="18" customHeight="1" x14ac:dyDescent="0.2">
      <c r="A22" s="22"/>
      <c r="B22" s="329" t="s">
        <v>76</v>
      </c>
      <c r="C22" s="332" t="s">
        <v>37</v>
      </c>
      <c r="D22" s="333"/>
      <c r="E22" s="98">
        <f>E23+E24+E25</f>
        <v>0</v>
      </c>
      <c r="F22" s="98">
        <f>F23+F24+F25</f>
        <v>11328529</v>
      </c>
      <c r="G22" s="98">
        <f t="shared" ref="G22:H22" si="8">G23+G24+G25</f>
        <v>40115000</v>
      </c>
      <c r="H22" s="98">
        <f t="shared" si="8"/>
        <v>51443529</v>
      </c>
      <c r="I22" s="18"/>
      <c r="J22" s="334" t="s">
        <v>59</v>
      </c>
      <c r="K22" s="339" t="s">
        <v>34</v>
      </c>
      <c r="L22" s="339"/>
      <c r="M22" s="98">
        <f>M23+M24+M25</f>
        <v>753891645</v>
      </c>
      <c r="N22" s="98">
        <f>N23+N24+N25</f>
        <v>764052174</v>
      </c>
      <c r="O22" s="98">
        <f t="shared" ref="O22:P22" si="9">O23+O24+O25</f>
        <v>45739717</v>
      </c>
      <c r="P22" s="106">
        <f t="shared" si="9"/>
        <v>809791891</v>
      </c>
    </row>
    <row r="23" spans="1:18" s="1" customFormat="1" ht="18" customHeight="1" x14ac:dyDescent="0.2">
      <c r="A23" s="22"/>
      <c r="B23" s="330"/>
      <c r="C23" s="24" t="s">
        <v>1</v>
      </c>
      <c r="D23" s="25" t="s">
        <v>10</v>
      </c>
      <c r="E23" s="100">
        <v>0</v>
      </c>
      <c r="F23" s="100">
        <v>11328529</v>
      </c>
      <c r="G23" s="101">
        <f>10115000+30000000</f>
        <v>40115000</v>
      </c>
      <c r="H23" s="102">
        <f t="shared" si="4"/>
        <v>51443529</v>
      </c>
      <c r="I23" s="18"/>
      <c r="J23" s="335"/>
      <c r="K23" s="24" t="s">
        <v>1</v>
      </c>
      <c r="L23" s="25" t="s">
        <v>10</v>
      </c>
      <c r="M23" s="100">
        <v>752737145</v>
      </c>
      <c r="N23" s="100">
        <v>762897674</v>
      </c>
      <c r="O23" s="107">
        <f>12800000-1500000-1000000-300000-5000000-50000+10115000+30000000</f>
        <v>45065000</v>
      </c>
      <c r="P23" s="102">
        <f>+O23+N23</f>
        <v>807962674</v>
      </c>
    </row>
    <row r="24" spans="1:18" s="1" customFormat="1" ht="18" customHeight="1" x14ac:dyDescent="0.2">
      <c r="A24" s="22"/>
      <c r="B24" s="330"/>
      <c r="C24" s="24" t="s">
        <v>2</v>
      </c>
      <c r="D24" s="25" t="s">
        <v>13</v>
      </c>
      <c r="E24" s="100">
        <v>0</v>
      </c>
      <c r="F24" s="100">
        <v>0</v>
      </c>
      <c r="G24" s="101">
        <v>0</v>
      </c>
      <c r="H24" s="102">
        <f t="shared" si="4"/>
        <v>0</v>
      </c>
      <c r="I24" s="18"/>
      <c r="J24" s="335"/>
      <c r="K24" s="24" t="s">
        <v>2</v>
      </c>
      <c r="L24" s="25" t="s">
        <v>13</v>
      </c>
      <c r="M24" s="100">
        <v>1154500</v>
      </c>
      <c r="N24" s="100">
        <v>1154500</v>
      </c>
      <c r="O24" s="107">
        <f>624717+50000</f>
        <v>674717</v>
      </c>
      <c r="P24" s="102">
        <f t="shared" ref="P24:P35" si="10">+O24+N24</f>
        <v>1829217</v>
      </c>
    </row>
    <row r="25" spans="1:18" s="1" customFormat="1" ht="18" customHeight="1" x14ac:dyDescent="0.2">
      <c r="A25" s="22"/>
      <c r="B25" s="331"/>
      <c r="C25" s="24" t="s">
        <v>4</v>
      </c>
      <c r="D25" s="25" t="s">
        <v>12</v>
      </c>
      <c r="E25" s="100">
        <v>0</v>
      </c>
      <c r="F25" s="100">
        <v>0</v>
      </c>
      <c r="G25" s="101">
        <v>0</v>
      </c>
      <c r="H25" s="102">
        <f t="shared" si="4"/>
        <v>0</v>
      </c>
      <c r="I25" s="18"/>
      <c r="J25" s="336"/>
      <c r="K25" s="24" t="s">
        <v>4</v>
      </c>
      <c r="L25" s="25" t="s">
        <v>12</v>
      </c>
      <c r="M25" s="100">
        <v>0</v>
      </c>
      <c r="N25" s="100">
        <v>0</v>
      </c>
      <c r="O25" s="107">
        <v>0</v>
      </c>
      <c r="P25" s="102">
        <f t="shared" si="10"/>
        <v>0</v>
      </c>
    </row>
    <row r="26" spans="1:18" s="1" customFormat="1" ht="18" customHeight="1" x14ac:dyDescent="0.2">
      <c r="A26" s="22"/>
      <c r="B26" s="329" t="s">
        <v>78</v>
      </c>
      <c r="C26" s="349" t="s">
        <v>52</v>
      </c>
      <c r="D26" s="350"/>
      <c r="E26" s="98">
        <f>E27+E28+E29</f>
        <v>335169360</v>
      </c>
      <c r="F26" s="98">
        <f>F27+F28+F29</f>
        <v>335169360</v>
      </c>
      <c r="G26" s="98">
        <f t="shared" ref="G26:H26" si="11">G27+G28+G29</f>
        <v>25000000</v>
      </c>
      <c r="H26" s="98">
        <f t="shared" si="11"/>
        <v>360169360</v>
      </c>
      <c r="I26" s="18"/>
      <c r="J26" s="334" t="s">
        <v>60</v>
      </c>
      <c r="K26" s="354" t="s">
        <v>8</v>
      </c>
      <c r="L26" s="354"/>
      <c r="M26" s="98">
        <f>M27+M28+M29</f>
        <v>0</v>
      </c>
      <c r="N26" s="98">
        <f>N27+N28+N29</f>
        <v>0</v>
      </c>
      <c r="O26" s="98">
        <f t="shared" ref="O26:P26" si="12">O27+O28+O29</f>
        <v>0</v>
      </c>
      <c r="P26" s="106">
        <f t="shared" si="12"/>
        <v>0</v>
      </c>
    </row>
    <row r="27" spans="1:18" s="1" customFormat="1" ht="18" customHeight="1" x14ac:dyDescent="0.2">
      <c r="A27" s="22"/>
      <c r="B27" s="330"/>
      <c r="C27" s="24" t="s">
        <v>1</v>
      </c>
      <c r="D27" s="25" t="s">
        <v>10</v>
      </c>
      <c r="E27" s="100">
        <v>335169360</v>
      </c>
      <c r="F27" s="100">
        <v>335169360</v>
      </c>
      <c r="G27" s="101">
        <v>25000000</v>
      </c>
      <c r="H27" s="102">
        <f>+G27+F27</f>
        <v>360169360</v>
      </c>
      <c r="I27" s="18"/>
      <c r="J27" s="335"/>
      <c r="K27" s="24" t="s">
        <v>1</v>
      </c>
      <c r="L27" s="25" t="s">
        <v>10</v>
      </c>
      <c r="M27" s="100">
        <v>0</v>
      </c>
      <c r="N27" s="100">
        <v>0</v>
      </c>
      <c r="O27" s="107">
        <v>0</v>
      </c>
      <c r="P27" s="102">
        <f t="shared" si="10"/>
        <v>0</v>
      </c>
    </row>
    <row r="28" spans="1:18" s="1" customFormat="1" ht="18" customHeight="1" x14ac:dyDescent="0.2">
      <c r="A28" s="22"/>
      <c r="B28" s="330"/>
      <c r="C28" s="24" t="s">
        <v>2</v>
      </c>
      <c r="D28" s="25" t="s">
        <v>13</v>
      </c>
      <c r="E28" s="100">
        <v>0</v>
      </c>
      <c r="F28" s="100">
        <v>0</v>
      </c>
      <c r="G28" s="101">
        <v>0</v>
      </c>
      <c r="H28" s="102">
        <f t="shared" ref="H28:H29" si="13">+G28+F28</f>
        <v>0</v>
      </c>
      <c r="I28" s="18"/>
      <c r="J28" s="335"/>
      <c r="K28" s="24" t="s">
        <v>2</v>
      </c>
      <c r="L28" s="25" t="s">
        <v>13</v>
      </c>
      <c r="M28" s="100">
        <v>0</v>
      </c>
      <c r="N28" s="100">
        <v>0</v>
      </c>
      <c r="O28" s="107">
        <v>0</v>
      </c>
      <c r="P28" s="102">
        <f t="shared" si="10"/>
        <v>0</v>
      </c>
    </row>
    <row r="29" spans="1:18" s="1" customFormat="1" ht="18" customHeight="1" x14ac:dyDescent="0.2">
      <c r="A29" s="23"/>
      <c r="B29" s="331"/>
      <c r="C29" s="24" t="s">
        <v>4</v>
      </c>
      <c r="D29" s="25" t="s">
        <v>12</v>
      </c>
      <c r="E29" s="100">
        <v>0</v>
      </c>
      <c r="F29" s="100">
        <v>0</v>
      </c>
      <c r="G29" s="101">
        <v>0</v>
      </c>
      <c r="H29" s="102">
        <f t="shared" si="13"/>
        <v>0</v>
      </c>
      <c r="I29" s="18"/>
      <c r="J29" s="336"/>
      <c r="K29" s="24" t="s">
        <v>4</v>
      </c>
      <c r="L29" s="25" t="s">
        <v>12</v>
      </c>
      <c r="M29" s="100">
        <v>0</v>
      </c>
      <c r="N29" s="100">
        <v>0</v>
      </c>
      <c r="O29" s="107">
        <v>0</v>
      </c>
      <c r="P29" s="102">
        <f t="shared" si="10"/>
        <v>0</v>
      </c>
    </row>
    <row r="30" spans="1:18" s="1" customFormat="1" ht="18" customHeight="1" x14ac:dyDescent="0.2">
      <c r="A30" s="355"/>
      <c r="B30" s="356"/>
      <c r="C30" s="356"/>
      <c r="D30" s="356"/>
      <c r="E30" s="356"/>
      <c r="F30" s="356"/>
      <c r="G30" s="356"/>
      <c r="H30" s="357"/>
      <c r="I30" s="18"/>
      <c r="J30" s="334" t="s">
        <v>61</v>
      </c>
      <c r="K30" s="339" t="s">
        <v>14</v>
      </c>
      <c r="L30" s="339"/>
      <c r="M30" s="98">
        <f>M31+M34+M35</f>
        <v>669021021</v>
      </c>
      <c r="N30" s="98">
        <f>N31+N34+N35</f>
        <v>1507929664</v>
      </c>
      <c r="O30" s="98">
        <f t="shared" ref="O30:P30" si="14">O31+O34+O35</f>
        <v>-48625804</v>
      </c>
      <c r="P30" s="106">
        <f t="shared" si="14"/>
        <v>1459303860</v>
      </c>
    </row>
    <row r="31" spans="1:18" s="1" customFormat="1" ht="18" customHeight="1" x14ac:dyDescent="0.2">
      <c r="A31" s="358"/>
      <c r="B31" s="359"/>
      <c r="C31" s="359"/>
      <c r="D31" s="359"/>
      <c r="E31" s="359"/>
      <c r="F31" s="359"/>
      <c r="G31" s="359"/>
      <c r="H31" s="360"/>
      <c r="I31" s="18"/>
      <c r="J31" s="335"/>
      <c r="K31" s="24" t="s">
        <v>1</v>
      </c>
      <c r="L31" s="25" t="s">
        <v>10</v>
      </c>
      <c r="M31" s="100">
        <f>M32+M33+2250000+1607207</f>
        <v>665021021</v>
      </c>
      <c r="N31" s="100">
        <f>N32+N33+2250000+1607207+482525</f>
        <v>1501929664</v>
      </c>
      <c r="O31" s="154">
        <f>O32+O33+25000000</f>
        <v>-45625804</v>
      </c>
      <c r="P31" s="102">
        <f t="shared" si="10"/>
        <v>1456303860</v>
      </c>
      <c r="Q31" s="37"/>
      <c r="R31" s="37"/>
    </row>
    <row r="32" spans="1:18" s="1" customFormat="1" ht="18" customHeight="1" x14ac:dyDescent="0.2">
      <c r="A32" s="358"/>
      <c r="B32" s="359"/>
      <c r="C32" s="359"/>
      <c r="D32" s="359"/>
      <c r="E32" s="359"/>
      <c r="F32" s="359"/>
      <c r="G32" s="359"/>
      <c r="H32" s="360"/>
      <c r="I32" s="18"/>
      <c r="J32" s="335"/>
      <c r="K32" s="30" t="s">
        <v>92</v>
      </c>
      <c r="L32" s="31" t="s">
        <v>94</v>
      </c>
      <c r="M32" s="229">
        <v>5000000</v>
      </c>
      <c r="N32" s="229">
        <v>161022381</v>
      </c>
      <c r="O32" s="155">
        <f>-3000000-166861542+54024000</f>
        <v>-115837542</v>
      </c>
      <c r="P32" s="123">
        <f t="shared" si="10"/>
        <v>45184839</v>
      </c>
      <c r="Q32" s="37"/>
      <c r="R32" s="37"/>
    </row>
    <row r="33" spans="1:18" s="1" customFormat="1" ht="18" customHeight="1" x14ac:dyDescent="0.2">
      <c r="A33" s="358"/>
      <c r="B33" s="359"/>
      <c r="C33" s="359"/>
      <c r="D33" s="359"/>
      <c r="E33" s="359"/>
      <c r="F33" s="359"/>
      <c r="G33" s="359"/>
      <c r="H33" s="360"/>
      <c r="I33" s="18"/>
      <c r="J33" s="335"/>
      <c r="K33" s="30" t="s">
        <v>93</v>
      </c>
      <c r="L33" s="31" t="s">
        <v>95</v>
      </c>
      <c r="M33" s="229">
        <v>656163814</v>
      </c>
      <c r="N33" s="229">
        <v>1336567551</v>
      </c>
      <c r="O33" s="155">
        <f>45211738</f>
        <v>45211738</v>
      </c>
      <c r="P33" s="123">
        <f t="shared" si="10"/>
        <v>1381779289</v>
      </c>
    </row>
    <row r="34" spans="1:18" s="1" customFormat="1" ht="18" customHeight="1" x14ac:dyDescent="0.2">
      <c r="A34" s="358"/>
      <c r="B34" s="359"/>
      <c r="C34" s="359"/>
      <c r="D34" s="359"/>
      <c r="E34" s="359"/>
      <c r="F34" s="359"/>
      <c r="G34" s="359"/>
      <c r="H34" s="360"/>
      <c r="I34" s="18"/>
      <c r="J34" s="335"/>
      <c r="K34" s="24" t="s">
        <v>2</v>
      </c>
      <c r="L34" s="25" t="s">
        <v>13</v>
      </c>
      <c r="M34" s="100">
        <v>4000000</v>
      </c>
      <c r="N34" s="100">
        <v>6000000</v>
      </c>
      <c r="O34" s="154">
        <f>-3000000</f>
        <v>-3000000</v>
      </c>
      <c r="P34" s="102">
        <f t="shared" si="10"/>
        <v>3000000</v>
      </c>
      <c r="R34" s="37"/>
    </row>
    <row r="35" spans="1:18" s="1" customFormat="1" ht="18" customHeight="1" x14ac:dyDescent="0.2">
      <c r="A35" s="361"/>
      <c r="B35" s="362"/>
      <c r="C35" s="362"/>
      <c r="D35" s="362"/>
      <c r="E35" s="362"/>
      <c r="F35" s="362"/>
      <c r="G35" s="362"/>
      <c r="H35" s="363"/>
      <c r="I35" s="17"/>
      <c r="J35" s="336"/>
      <c r="K35" s="24" t="s">
        <v>4</v>
      </c>
      <c r="L35" s="25" t="s">
        <v>12</v>
      </c>
      <c r="M35" s="100">
        <v>0</v>
      </c>
      <c r="N35" s="100">
        <v>0</v>
      </c>
      <c r="O35" s="107">
        <v>0</v>
      </c>
      <c r="P35" s="102">
        <f t="shared" si="10"/>
        <v>0</v>
      </c>
    </row>
    <row r="36" spans="1:18" s="1" customFormat="1" ht="30" customHeight="1" x14ac:dyDescent="0.2">
      <c r="A36" s="177" t="s">
        <v>0</v>
      </c>
      <c r="B36" s="320" t="s">
        <v>23</v>
      </c>
      <c r="C36" s="321"/>
      <c r="D36" s="322"/>
      <c r="E36" s="178">
        <f>+E37+E38+E39</f>
        <v>852287612</v>
      </c>
      <c r="F36" s="178">
        <f>+F37+F38+F39</f>
        <v>1421700128</v>
      </c>
      <c r="G36" s="178">
        <f t="shared" ref="G36:H36" si="15">+G37+G38+G39</f>
        <v>151590738</v>
      </c>
      <c r="H36" s="178">
        <f t="shared" si="15"/>
        <v>1573290866</v>
      </c>
      <c r="I36" s="179" t="s">
        <v>0</v>
      </c>
      <c r="J36" s="322" t="s">
        <v>18</v>
      </c>
      <c r="K36" s="364"/>
      <c r="L36" s="364"/>
      <c r="M36" s="180">
        <f>+M37+M38+M39</f>
        <v>1981494959</v>
      </c>
      <c r="N36" s="180">
        <f>+N37+N38+N39</f>
        <v>2831732131</v>
      </c>
      <c r="O36" s="180">
        <f t="shared" ref="O36:P36" si="16">+O37+O38+O39</f>
        <v>-5460804</v>
      </c>
      <c r="P36" s="181">
        <f t="shared" si="16"/>
        <v>2826271327</v>
      </c>
    </row>
    <row r="37" spans="1:18" s="1" customFormat="1" ht="18" customHeight="1" x14ac:dyDescent="0.2">
      <c r="A37" s="182"/>
      <c r="B37" s="365" t="s">
        <v>81</v>
      </c>
      <c r="C37" s="183" t="s">
        <v>1</v>
      </c>
      <c r="D37" s="184" t="s">
        <v>10</v>
      </c>
      <c r="E37" s="185">
        <f t="shared" ref="E37" si="17">+E27+E23+E19+E15</f>
        <v>852287612</v>
      </c>
      <c r="F37" s="185">
        <f t="shared" ref="F37:H39" si="18">+F27+F23+F19+F15</f>
        <v>1421700128</v>
      </c>
      <c r="G37" s="185">
        <f t="shared" si="18"/>
        <v>151590738</v>
      </c>
      <c r="H37" s="185">
        <f t="shared" si="18"/>
        <v>1573290866</v>
      </c>
      <c r="I37" s="326"/>
      <c r="J37" s="368" t="s">
        <v>80</v>
      </c>
      <c r="K37" s="183" t="s">
        <v>1</v>
      </c>
      <c r="L37" s="184" t="s">
        <v>10</v>
      </c>
      <c r="M37" s="185">
        <f>+M31+M27+M23+M19+M15</f>
        <v>1976170959</v>
      </c>
      <c r="N37" s="185">
        <f>+N31+N27+N23+N19+N15</f>
        <v>2824408131</v>
      </c>
      <c r="O37" s="185">
        <f t="shared" ref="O37:P37" si="19">+O31+O27+O23+O19+O15</f>
        <v>-5510804</v>
      </c>
      <c r="P37" s="186">
        <f t="shared" si="19"/>
        <v>2818897327</v>
      </c>
    </row>
    <row r="38" spans="1:18" s="1" customFormat="1" ht="18" customHeight="1" x14ac:dyDescent="0.2">
      <c r="A38" s="182"/>
      <c r="B38" s="366"/>
      <c r="C38" s="183" t="s">
        <v>2</v>
      </c>
      <c r="D38" s="184" t="s">
        <v>13</v>
      </c>
      <c r="E38" s="185">
        <f t="shared" ref="E38" si="20">+E28+E24+E20+E16</f>
        <v>0</v>
      </c>
      <c r="F38" s="185">
        <f t="shared" si="18"/>
        <v>0</v>
      </c>
      <c r="G38" s="185">
        <f t="shared" si="18"/>
        <v>0</v>
      </c>
      <c r="H38" s="185">
        <f t="shared" si="18"/>
        <v>0</v>
      </c>
      <c r="I38" s="326"/>
      <c r="J38" s="368"/>
      <c r="K38" s="183" t="s">
        <v>2</v>
      </c>
      <c r="L38" s="184" t="s">
        <v>13</v>
      </c>
      <c r="M38" s="185">
        <f>+M34+M28+M24+M20+M16</f>
        <v>5324000</v>
      </c>
      <c r="N38" s="185">
        <f>+N34+N28+N24+N20+N16</f>
        <v>7324000</v>
      </c>
      <c r="O38" s="185">
        <f t="shared" ref="O38:P38" si="21">+O34+O28+O24+O20+O16</f>
        <v>50000</v>
      </c>
      <c r="P38" s="186">
        <f t="shared" si="21"/>
        <v>7374000</v>
      </c>
    </row>
    <row r="39" spans="1:18" s="1" customFormat="1" ht="18" customHeight="1" x14ac:dyDescent="0.2">
      <c r="A39" s="187"/>
      <c r="B39" s="367"/>
      <c r="C39" s="183" t="s">
        <v>4</v>
      </c>
      <c r="D39" s="184" t="s">
        <v>12</v>
      </c>
      <c r="E39" s="185">
        <f t="shared" ref="E39" si="22">+E29+E25+E21+E17</f>
        <v>0</v>
      </c>
      <c r="F39" s="185">
        <f t="shared" si="18"/>
        <v>0</v>
      </c>
      <c r="G39" s="185">
        <f t="shared" si="18"/>
        <v>0</v>
      </c>
      <c r="H39" s="185">
        <f t="shared" si="18"/>
        <v>0</v>
      </c>
      <c r="I39" s="327"/>
      <c r="J39" s="368"/>
      <c r="K39" s="183" t="s">
        <v>4</v>
      </c>
      <c r="L39" s="184" t="s">
        <v>12</v>
      </c>
      <c r="M39" s="188">
        <f t="shared" ref="M39:N39" si="23">+M35+M29+M25+M21+M17</f>
        <v>0</v>
      </c>
      <c r="N39" s="188">
        <f t="shared" si="23"/>
        <v>0</v>
      </c>
      <c r="O39" s="188">
        <f t="shared" ref="O39:P39" si="24">+O35+O29+O25+O21+O17</f>
        <v>0</v>
      </c>
      <c r="P39" s="189">
        <f t="shared" si="24"/>
        <v>0</v>
      </c>
    </row>
    <row r="40" spans="1:18" s="36" customFormat="1" ht="30.75" customHeight="1" thickBot="1" x14ac:dyDescent="0.25">
      <c r="A40" s="351" t="s">
        <v>96</v>
      </c>
      <c r="B40" s="352"/>
      <c r="C40" s="352"/>
      <c r="D40" s="353"/>
      <c r="E40" s="114">
        <f>M36-E36</f>
        <v>1129207347</v>
      </c>
      <c r="F40" s="114">
        <f>N36-F36</f>
        <v>1410032003</v>
      </c>
      <c r="G40" s="114"/>
      <c r="H40" s="125">
        <f>P36-H36</f>
        <v>1252980461</v>
      </c>
      <c r="I40" s="351" t="s">
        <v>97</v>
      </c>
      <c r="J40" s="352"/>
      <c r="K40" s="352"/>
      <c r="L40" s="353"/>
      <c r="M40" s="114"/>
      <c r="N40" s="114"/>
      <c r="O40" s="114">
        <f>G36-O36</f>
        <v>157051542</v>
      </c>
      <c r="P40" s="124"/>
    </row>
    <row r="41" spans="1:18" s="1" customFormat="1" ht="18" customHeight="1" x14ac:dyDescent="0.2">
      <c r="A41" s="340" t="s">
        <v>51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2"/>
    </row>
    <row r="42" spans="1:18" s="1" customFormat="1" ht="18" customHeight="1" x14ac:dyDescent="0.2">
      <c r="A42" s="21" t="s">
        <v>3</v>
      </c>
      <c r="B42" s="343" t="s">
        <v>24</v>
      </c>
      <c r="C42" s="344"/>
      <c r="D42" s="345"/>
      <c r="E42" s="98">
        <f>E43+E47+E51</f>
        <v>312856917</v>
      </c>
      <c r="F42" s="98">
        <f>F43+F47+F51</f>
        <v>319556917</v>
      </c>
      <c r="G42" s="98">
        <f t="shared" ref="G42:H42" si="25">G43+G47+G51</f>
        <v>0</v>
      </c>
      <c r="H42" s="98">
        <f t="shared" si="25"/>
        <v>319556917</v>
      </c>
      <c r="I42" s="19" t="s">
        <v>3</v>
      </c>
      <c r="J42" s="346" t="s">
        <v>22</v>
      </c>
      <c r="K42" s="347"/>
      <c r="L42" s="348"/>
      <c r="M42" s="103">
        <f>M43+M47+M51</f>
        <v>434792849</v>
      </c>
      <c r="N42" s="103">
        <f>N43+N47+N51</f>
        <v>434792849</v>
      </c>
      <c r="O42" s="104">
        <f t="shared" ref="O42:P42" si="26">O43+O47+O51</f>
        <v>195524242</v>
      </c>
      <c r="P42" s="105">
        <f t="shared" si="26"/>
        <v>630317091</v>
      </c>
    </row>
    <row r="43" spans="1:18" s="1" customFormat="1" ht="30" customHeight="1" x14ac:dyDescent="0.2">
      <c r="A43" s="22"/>
      <c r="B43" s="329" t="s">
        <v>74</v>
      </c>
      <c r="C43" s="332" t="s">
        <v>55</v>
      </c>
      <c r="D43" s="333"/>
      <c r="E43" s="98">
        <f>E44+E45+E46</f>
        <v>54451092</v>
      </c>
      <c r="F43" s="98">
        <f>F44+F45+F46</f>
        <v>54451092</v>
      </c>
      <c r="G43" s="98">
        <f t="shared" ref="G43:H43" si="27">G44+G45+G46</f>
        <v>0</v>
      </c>
      <c r="H43" s="98">
        <f t="shared" si="27"/>
        <v>54451092</v>
      </c>
      <c r="I43" s="18"/>
      <c r="J43" s="334" t="s">
        <v>63</v>
      </c>
      <c r="K43" s="349" t="s">
        <v>15</v>
      </c>
      <c r="L43" s="350"/>
      <c r="M43" s="98">
        <f>M44+M45+M46</f>
        <v>357789724</v>
      </c>
      <c r="N43" s="98">
        <f>N44+N45+N46</f>
        <v>357789724</v>
      </c>
      <c r="O43" s="99">
        <f t="shared" ref="O43:P43" si="28">O44+O45+O46</f>
        <v>195524242</v>
      </c>
      <c r="P43" s="106">
        <f t="shared" si="28"/>
        <v>553313966</v>
      </c>
    </row>
    <row r="44" spans="1:18" s="1" customFormat="1" ht="18" customHeight="1" x14ac:dyDescent="0.2">
      <c r="A44" s="22"/>
      <c r="B44" s="330"/>
      <c r="C44" s="24" t="s">
        <v>1</v>
      </c>
      <c r="D44" s="25" t="s">
        <v>10</v>
      </c>
      <c r="E44" s="100">
        <v>54451092</v>
      </c>
      <c r="F44" s="100">
        <v>54451092</v>
      </c>
      <c r="G44" s="101">
        <v>0</v>
      </c>
      <c r="H44" s="102">
        <f>+G44+F44</f>
        <v>54451092</v>
      </c>
      <c r="I44" s="18"/>
      <c r="J44" s="335"/>
      <c r="K44" s="24" t="s">
        <v>1</v>
      </c>
      <c r="L44" s="25" t="s">
        <v>10</v>
      </c>
      <c r="M44" s="100">
        <v>357789724</v>
      </c>
      <c r="N44" s="100">
        <v>357789724</v>
      </c>
      <c r="O44" s="107">
        <f>16786700-4628579+18028579+166861542-1524000</f>
        <v>195524242</v>
      </c>
      <c r="P44" s="102">
        <f>+O44+N44</f>
        <v>553313966</v>
      </c>
    </row>
    <row r="45" spans="1:18" s="1" customFormat="1" ht="18" customHeight="1" x14ac:dyDescent="0.2">
      <c r="A45" s="22"/>
      <c r="B45" s="330"/>
      <c r="C45" s="24" t="s">
        <v>2</v>
      </c>
      <c r="D45" s="25" t="s">
        <v>13</v>
      </c>
      <c r="E45" s="100">
        <v>0</v>
      </c>
      <c r="F45" s="100">
        <v>0</v>
      </c>
      <c r="G45" s="101">
        <v>0</v>
      </c>
      <c r="H45" s="102">
        <f t="shared" ref="H45:H46" si="29">+G45+F45</f>
        <v>0</v>
      </c>
      <c r="I45" s="18"/>
      <c r="J45" s="335"/>
      <c r="K45" s="24" t="s">
        <v>2</v>
      </c>
      <c r="L45" s="25" t="s">
        <v>13</v>
      </c>
      <c r="M45" s="100">
        <v>0</v>
      </c>
      <c r="N45" s="100">
        <v>0</v>
      </c>
      <c r="O45" s="107">
        <v>0</v>
      </c>
      <c r="P45" s="102">
        <f t="shared" ref="P45:P46" si="30">+O45+N45</f>
        <v>0</v>
      </c>
    </row>
    <row r="46" spans="1:18" s="1" customFormat="1" ht="18" customHeight="1" x14ac:dyDescent="0.2">
      <c r="A46" s="22"/>
      <c r="B46" s="331"/>
      <c r="C46" s="24" t="s">
        <v>4</v>
      </c>
      <c r="D46" s="25" t="s">
        <v>12</v>
      </c>
      <c r="E46" s="100">
        <v>0</v>
      </c>
      <c r="F46" s="100">
        <v>0</v>
      </c>
      <c r="G46" s="101">
        <v>0</v>
      </c>
      <c r="H46" s="102">
        <f t="shared" si="29"/>
        <v>0</v>
      </c>
      <c r="I46" s="18"/>
      <c r="J46" s="336"/>
      <c r="K46" s="24" t="s">
        <v>4</v>
      </c>
      <c r="L46" s="25" t="s">
        <v>12</v>
      </c>
      <c r="M46" s="100">
        <v>0</v>
      </c>
      <c r="N46" s="100">
        <v>0</v>
      </c>
      <c r="O46" s="107">
        <v>0</v>
      </c>
      <c r="P46" s="102">
        <f t="shared" si="30"/>
        <v>0</v>
      </c>
    </row>
    <row r="47" spans="1:18" s="1" customFormat="1" ht="18" customHeight="1" x14ac:dyDescent="0.2">
      <c r="A47" s="22"/>
      <c r="B47" s="329" t="s">
        <v>77</v>
      </c>
      <c r="C47" s="332" t="s">
        <v>25</v>
      </c>
      <c r="D47" s="333"/>
      <c r="E47" s="98">
        <f>E48+E49+E50</f>
        <v>0</v>
      </c>
      <c r="F47" s="98">
        <f>F48+F49+F50</f>
        <v>6700000</v>
      </c>
      <c r="G47" s="98">
        <f t="shared" ref="G47:H47" si="31">G48+G49+G50</f>
        <v>0</v>
      </c>
      <c r="H47" s="98">
        <f t="shared" si="31"/>
        <v>6700000</v>
      </c>
      <c r="I47" s="18"/>
      <c r="J47" s="334" t="s">
        <v>64</v>
      </c>
      <c r="K47" s="332" t="s">
        <v>16</v>
      </c>
      <c r="L47" s="333"/>
      <c r="M47" s="98">
        <f>M48+M49+M50</f>
        <v>77003125</v>
      </c>
      <c r="N47" s="98">
        <f>N48+N49+N50</f>
        <v>77003125</v>
      </c>
      <c r="O47" s="98">
        <f t="shared" ref="O47:P47" si="32">O48+O49+O50</f>
        <v>0</v>
      </c>
      <c r="P47" s="106">
        <f t="shared" si="32"/>
        <v>77003125</v>
      </c>
    </row>
    <row r="48" spans="1:18" s="1" customFormat="1" ht="18" customHeight="1" x14ac:dyDescent="0.2">
      <c r="A48" s="22"/>
      <c r="B48" s="330"/>
      <c r="C48" s="24" t="s">
        <v>1</v>
      </c>
      <c r="D48" s="25" t="s">
        <v>10</v>
      </c>
      <c r="E48" s="100">
        <v>0</v>
      </c>
      <c r="F48" s="100">
        <v>6700000</v>
      </c>
      <c r="G48" s="101">
        <v>0</v>
      </c>
      <c r="H48" s="102">
        <f>+G48+F48</f>
        <v>6700000</v>
      </c>
      <c r="I48" s="18"/>
      <c r="J48" s="335"/>
      <c r="K48" s="24" t="s">
        <v>1</v>
      </c>
      <c r="L48" s="25" t="s">
        <v>10</v>
      </c>
      <c r="M48" s="100">
        <v>77003125</v>
      </c>
      <c r="N48" s="100">
        <v>77003125</v>
      </c>
      <c r="O48" s="107">
        <v>0</v>
      </c>
      <c r="P48" s="102">
        <f>+O48+N48</f>
        <v>77003125</v>
      </c>
    </row>
    <row r="49" spans="1:16" s="1" customFormat="1" ht="18" customHeight="1" x14ac:dyDescent="0.2">
      <c r="A49" s="22"/>
      <c r="B49" s="330"/>
      <c r="C49" s="24" t="s">
        <v>2</v>
      </c>
      <c r="D49" s="25" t="s">
        <v>13</v>
      </c>
      <c r="E49" s="100">
        <v>0</v>
      </c>
      <c r="F49" s="100">
        <v>0</v>
      </c>
      <c r="G49" s="101">
        <v>0</v>
      </c>
      <c r="H49" s="102">
        <f t="shared" ref="H49:H50" si="33">+G49+F49</f>
        <v>0</v>
      </c>
      <c r="I49" s="18"/>
      <c r="J49" s="335"/>
      <c r="K49" s="24" t="s">
        <v>2</v>
      </c>
      <c r="L49" s="25" t="s">
        <v>13</v>
      </c>
      <c r="M49" s="100">
        <v>0</v>
      </c>
      <c r="N49" s="100">
        <v>0</v>
      </c>
      <c r="O49" s="107">
        <v>0</v>
      </c>
      <c r="P49" s="102">
        <f t="shared" ref="P49:P50" si="34">+O49+N49</f>
        <v>0</v>
      </c>
    </row>
    <row r="50" spans="1:16" s="1" customFormat="1" ht="18" customHeight="1" x14ac:dyDescent="0.2">
      <c r="A50" s="22"/>
      <c r="B50" s="331"/>
      <c r="C50" s="24" t="s">
        <v>4</v>
      </c>
      <c r="D50" s="25" t="s">
        <v>12</v>
      </c>
      <c r="E50" s="100">
        <v>0</v>
      </c>
      <c r="F50" s="100">
        <v>0</v>
      </c>
      <c r="G50" s="101">
        <v>0</v>
      </c>
      <c r="H50" s="102">
        <f t="shared" si="33"/>
        <v>0</v>
      </c>
      <c r="I50" s="18"/>
      <c r="J50" s="336"/>
      <c r="K50" s="24" t="s">
        <v>4</v>
      </c>
      <c r="L50" s="25" t="s">
        <v>12</v>
      </c>
      <c r="M50" s="100">
        <v>0</v>
      </c>
      <c r="N50" s="100">
        <v>0</v>
      </c>
      <c r="O50" s="107">
        <v>0</v>
      </c>
      <c r="P50" s="102">
        <f t="shared" si="34"/>
        <v>0</v>
      </c>
    </row>
    <row r="51" spans="1:16" s="1" customFormat="1" ht="18" customHeight="1" x14ac:dyDescent="0.2">
      <c r="A51" s="22"/>
      <c r="B51" s="329" t="s">
        <v>79</v>
      </c>
      <c r="C51" s="337" t="s">
        <v>54</v>
      </c>
      <c r="D51" s="338"/>
      <c r="E51" s="98">
        <f>E52+E53+E54</f>
        <v>258405825</v>
      </c>
      <c r="F51" s="98">
        <f>F52+F53+F54</f>
        <v>258405825</v>
      </c>
      <c r="G51" s="98">
        <f t="shared" ref="G51:H51" si="35">G52+G53+G54</f>
        <v>0</v>
      </c>
      <c r="H51" s="98">
        <f t="shared" si="35"/>
        <v>258405825</v>
      </c>
      <c r="I51" s="18"/>
      <c r="J51" s="334" t="s">
        <v>65</v>
      </c>
      <c r="K51" s="339" t="s">
        <v>66</v>
      </c>
      <c r="L51" s="339"/>
      <c r="M51" s="98">
        <f>M52+M53+M54</f>
        <v>0</v>
      </c>
      <c r="N51" s="98">
        <f>N52+N53+N54</f>
        <v>0</v>
      </c>
      <c r="O51" s="98">
        <f t="shared" ref="O51:P51" si="36">O52+O53+O54</f>
        <v>0</v>
      </c>
      <c r="P51" s="106">
        <f t="shared" si="36"/>
        <v>0</v>
      </c>
    </row>
    <row r="52" spans="1:16" s="1" customFormat="1" ht="18" customHeight="1" x14ac:dyDescent="0.2">
      <c r="A52" s="22"/>
      <c r="B52" s="330"/>
      <c r="C52" s="24" t="s">
        <v>1</v>
      </c>
      <c r="D52" s="25" t="s">
        <v>10</v>
      </c>
      <c r="E52" s="100">
        <v>258405825</v>
      </c>
      <c r="F52" s="100">
        <v>258405825</v>
      </c>
      <c r="G52" s="101">
        <v>0</v>
      </c>
      <c r="H52" s="102">
        <f>+G52+F52</f>
        <v>258405825</v>
      </c>
      <c r="I52" s="18"/>
      <c r="J52" s="335"/>
      <c r="K52" s="24" t="s">
        <v>1</v>
      </c>
      <c r="L52" s="25" t="s">
        <v>10</v>
      </c>
      <c r="M52" s="100">
        <v>0</v>
      </c>
      <c r="N52" s="100">
        <v>0</v>
      </c>
      <c r="O52" s="107">
        <v>0</v>
      </c>
      <c r="P52" s="102">
        <f>+O52+N52</f>
        <v>0</v>
      </c>
    </row>
    <row r="53" spans="1:16" s="1" customFormat="1" ht="18" customHeight="1" x14ac:dyDescent="0.2">
      <c r="A53" s="22"/>
      <c r="B53" s="330"/>
      <c r="C53" s="24" t="s">
        <v>2</v>
      </c>
      <c r="D53" s="25" t="s">
        <v>13</v>
      </c>
      <c r="E53" s="100">
        <v>0</v>
      </c>
      <c r="F53" s="100">
        <v>0</v>
      </c>
      <c r="G53" s="101">
        <v>0</v>
      </c>
      <c r="H53" s="102">
        <f t="shared" ref="H53:H54" si="37">+G53+F53</f>
        <v>0</v>
      </c>
      <c r="I53" s="18"/>
      <c r="J53" s="335"/>
      <c r="K53" s="24" t="s">
        <v>2</v>
      </c>
      <c r="L53" s="25" t="s">
        <v>13</v>
      </c>
      <c r="M53" s="100">
        <v>0</v>
      </c>
      <c r="N53" s="100">
        <v>0</v>
      </c>
      <c r="O53" s="107">
        <v>0</v>
      </c>
      <c r="P53" s="102">
        <f t="shared" ref="P53:P54" si="38">+O53+N53</f>
        <v>0</v>
      </c>
    </row>
    <row r="54" spans="1:16" s="1" customFormat="1" ht="18" customHeight="1" x14ac:dyDescent="0.2">
      <c r="A54" s="23"/>
      <c r="B54" s="331"/>
      <c r="C54" s="24" t="s">
        <v>4</v>
      </c>
      <c r="D54" s="25" t="s">
        <v>12</v>
      </c>
      <c r="E54" s="100">
        <v>0</v>
      </c>
      <c r="F54" s="100">
        <v>0</v>
      </c>
      <c r="G54" s="101">
        <v>0</v>
      </c>
      <c r="H54" s="102">
        <f t="shared" si="37"/>
        <v>0</v>
      </c>
      <c r="I54" s="17"/>
      <c r="J54" s="336"/>
      <c r="K54" s="24" t="s">
        <v>4</v>
      </c>
      <c r="L54" s="25" t="s">
        <v>12</v>
      </c>
      <c r="M54" s="100">
        <v>0</v>
      </c>
      <c r="N54" s="100">
        <v>0</v>
      </c>
      <c r="O54" s="107">
        <v>0</v>
      </c>
      <c r="P54" s="102">
        <f t="shared" si="38"/>
        <v>0</v>
      </c>
    </row>
    <row r="55" spans="1:16" s="1" customFormat="1" ht="30" customHeight="1" x14ac:dyDescent="0.2">
      <c r="A55" s="190" t="s">
        <v>3</v>
      </c>
      <c r="B55" s="305" t="s">
        <v>26</v>
      </c>
      <c r="C55" s="306"/>
      <c r="D55" s="307"/>
      <c r="E55" s="180">
        <f>E56+E57+E58</f>
        <v>312856917</v>
      </c>
      <c r="F55" s="180">
        <f>F56+F57+F58</f>
        <v>319556917</v>
      </c>
      <c r="G55" s="180">
        <f t="shared" ref="G55:H55" si="39">G56+G57+G58</f>
        <v>0</v>
      </c>
      <c r="H55" s="180">
        <f t="shared" si="39"/>
        <v>319556917</v>
      </c>
      <c r="I55" s="191" t="s">
        <v>3</v>
      </c>
      <c r="J55" s="305" t="s">
        <v>19</v>
      </c>
      <c r="K55" s="306"/>
      <c r="L55" s="307"/>
      <c r="M55" s="180">
        <f>M56+M57+M58</f>
        <v>434792849</v>
      </c>
      <c r="N55" s="180">
        <f>N56+N57+N58</f>
        <v>434792849</v>
      </c>
      <c r="O55" s="180">
        <f t="shared" ref="O55:P55" si="40">O56+O57+O58</f>
        <v>195524242</v>
      </c>
      <c r="P55" s="181">
        <f t="shared" si="40"/>
        <v>630317091</v>
      </c>
    </row>
    <row r="56" spans="1:16" s="1" customFormat="1" ht="18" customHeight="1" x14ac:dyDescent="0.2">
      <c r="A56" s="182"/>
      <c r="B56" s="314" t="s">
        <v>82</v>
      </c>
      <c r="C56" s="183" t="s">
        <v>1</v>
      </c>
      <c r="D56" s="184" t="s">
        <v>10</v>
      </c>
      <c r="E56" s="185">
        <f t="shared" ref="E56" si="41">E44+E48+E52</f>
        <v>312856917</v>
      </c>
      <c r="F56" s="185">
        <f t="shared" ref="F56:H58" si="42">F44+F48+F52</f>
        <v>319556917</v>
      </c>
      <c r="G56" s="185">
        <f t="shared" si="42"/>
        <v>0</v>
      </c>
      <c r="H56" s="185">
        <f t="shared" si="42"/>
        <v>319556917</v>
      </c>
      <c r="I56" s="192"/>
      <c r="J56" s="316" t="s">
        <v>67</v>
      </c>
      <c r="K56" s="183" t="s">
        <v>1</v>
      </c>
      <c r="L56" s="184" t="s">
        <v>10</v>
      </c>
      <c r="M56" s="185">
        <f t="shared" ref="M56:N58" si="43">M44+M48+M52</f>
        <v>434792849</v>
      </c>
      <c r="N56" s="185">
        <f t="shared" si="43"/>
        <v>434792849</v>
      </c>
      <c r="O56" s="185">
        <f t="shared" ref="O56:P56" si="44">O44+O48+O52</f>
        <v>195524242</v>
      </c>
      <c r="P56" s="186">
        <f t="shared" si="44"/>
        <v>630317091</v>
      </c>
    </row>
    <row r="57" spans="1:16" s="1" customFormat="1" ht="18" customHeight="1" x14ac:dyDescent="0.2">
      <c r="A57" s="182"/>
      <c r="B57" s="315"/>
      <c r="C57" s="183" t="s">
        <v>2</v>
      </c>
      <c r="D57" s="184" t="s">
        <v>13</v>
      </c>
      <c r="E57" s="185">
        <f t="shared" ref="E57" si="45">E45+E49+E53</f>
        <v>0</v>
      </c>
      <c r="F57" s="185">
        <f t="shared" si="42"/>
        <v>0</v>
      </c>
      <c r="G57" s="185">
        <f t="shared" si="42"/>
        <v>0</v>
      </c>
      <c r="H57" s="185">
        <f t="shared" si="42"/>
        <v>0</v>
      </c>
      <c r="I57" s="192"/>
      <c r="J57" s="316"/>
      <c r="K57" s="183" t="s">
        <v>2</v>
      </c>
      <c r="L57" s="184" t="s">
        <v>13</v>
      </c>
      <c r="M57" s="185">
        <f t="shared" si="43"/>
        <v>0</v>
      </c>
      <c r="N57" s="185">
        <f t="shared" si="43"/>
        <v>0</v>
      </c>
      <c r="O57" s="185">
        <f t="shared" ref="O57:P57" si="46">O45+O49+O53</f>
        <v>0</v>
      </c>
      <c r="P57" s="186">
        <f t="shared" si="46"/>
        <v>0</v>
      </c>
    </row>
    <row r="58" spans="1:16" s="1" customFormat="1" ht="18" customHeight="1" x14ac:dyDescent="0.2">
      <c r="A58" s="182"/>
      <c r="B58" s="315"/>
      <c r="C58" s="193" t="s">
        <v>4</v>
      </c>
      <c r="D58" s="194" t="s">
        <v>12</v>
      </c>
      <c r="E58" s="185">
        <f t="shared" ref="E58" si="47">E46+E50+E54</f>
        <v>0</v>
      </c>
      <c r="F58" s="185">
        <f t="shared" si="42"/>
        <v>0</v>
      </c>
      <c r="G58" s="185">
        <f t="shared" si="42"/>
        <v>0</v>
      </c>
      <c r="H58" s="185">
        <f t="shared" si="42"/>
        <v>0</v>
      </c>
      <c r="I58" s="192"/>
      <c r="J58" s="317"/>
      <c r="K58" s="193" t="s">
        <v>4</v>
      </c>
      <c r="L58" s="194" t="s">
        <v>12</v>
      </c>
      <c r="M58" s="188">
        <f t="shared" si="43"/>
        <v>0</v>
      </c>
      <c r="N58" s="188">
        <f t="shared" si="43"/>
        <v>0</v>
      </c>
      <c r="O58" s="188">
        <f t="shared" ref="O58:P58" si="48">O46+O50+O54</f>
        <v>0</v>
      </c>
      <c r="P58" s="189">
        <f t="shared" si="48"/>
        <v>0</v>
      </c>
    </row>
    <row r="59" spans="1:16" s="35" customFormat="1" ht="31.5" customHeight="1" thickBot="1" x14ac:dyDescent="0.25">
      <c r="A59" s="383" t="s">
        <v>98</v>
      </c>
      <c r="B59" s="384"/>
      <c r="C59" s="384"/>
      <c r="D59" s="384"/>
      <c r="E59" s="117">
        <f>+M55-E55</f>
        <v>121935932</v>
      </c>
      <c r="F59" s="117">
        <f>+N55-F55</f>
        <v>115235932</v>
      </c>
      <c r="G59" s="117">
        <f>O55-G55</f>
        <v>195524242</v>
      </c>
      <c r="H59" s="117">
        <f>P55-H55</f>
        <v>310760174</v>
      </c>
      <c r="I59" s="383" t="s">
        <v>99</v>
      </c>
      <c r="J59" s="384"/>
      <c r="K59" s="384"/>
      <c r="L59" s="384"/>
      <c r="M59" s="128"/>
      <c r="N59" s="128"/>
      <c r="O59" s="125"/>
      <c r="P59" s="129"/>
    </row>
    <row r="60" spans="1:16" s="1" customFormat="1" ht="18" customHeight="1" x14ac:dyDescent="0.2">
      <c r="A60" s="196" t="s">
        <v>40</v>
      </c>
      <c r="B60" s="385" t="s">
        <v>41</v>
      </c>
      <c r="C60" s="386"/>
      <c r="D60" s="387"/>
      <c r="E60" s="197">
        <f>E61+E62+E63</f>
        <v>1165144529</v>
      </c>
      <c r="F60" s="197">
        <f>F61+F62+F63</f>
        <v>1741257045</v>
      </c>
      <c r="G60" s="197">
        <f t="shared" ref="G60:H60" si="49">G61+G62+G63</f>
        <v>151590738</v>
      </c>
      <c r="H60" s="197">
        <f t="shared" si="49"/>
        <v>1892847783</v>
      </c>
      <c r="I60" s="196" t="s">
        <v>40</v>
      </c>
      <c r="J60" s="323" t="s">
        <v>43</v>
      </c>
      <c r="K60" s="324"/>
      <c r="L60" s="324"/>
      <c r="M60" s="197">
        <f>M61+M62+M63</f>
        <v>2416287808</v>
      </c>
      <c r="N60" s="197">
        <f>N61+N62+N63</f>
        <v>3266524980</v>
      </c>
      <c r="O60" s="197">
        <f t="shared" ref="O60:P60" si="50">O61+O62+O63</f>
        <v>190063438</v>
      </c>
      <c r="P60" s="198">
        <f t="shared" si="50"/>
        <v>3456588418</v>
      </c>
    </row>
    <row r="61" spans="1:16" s="1" customFormat="1" ht="18" customHeight="1" x14ac:dyDescent="0.2">
      <c r="A61" s="182"/>
      <c r="B61" s="295" t="s">
        <v>84</v>
      </c>
      <c r="C61" s="183" t="s">
        <v>1</v>
      </c>
      <c r="D61" s="184" t="s">
        <v>10</v>
      </c>
      <c r="E61" s="188">
        <f t="shared" ref="E61" si="51">E37+E56</f>
        <v>1165144529</v>
      </c>
      <c r="F61" s="188">
        <f t="shared" ref="F61:H61" si="52">F37+F56</f>
        <v>1741257045</v>
      </c>
      <c r="G61" s="188">
        <f t="shared" si="52"/>
        <v>151590738</v>
      </c>
      <c r="H61" s="188">
        <f t="shared" si="52"/>
        <v>1892847783</v>
      </c>
      <c r="I61" s="326"/>
      <c r="J61" s="328" t="s">
        <v>83</v>
      </c>
      <c r="K61" s="183" t="s">
        <v>1</v>
      </c>
      <c r="L61" s="184" t="s">
        <v>10</v>
      </c>
      <c r="M61" s="188">
        <f t="shared" ref="M61:N63" si="53">M37+M56</f>
        <v>2410963808</v>
      </c>
      <c r="N61" s="188">
        <f t="shared" si="53"/>
        <v>3259200980</v>
      </c>
      <c r="O61" s="188">
        <f t="shared" ref="O61:P61" si="54">O37+O56</f>
        <v>190013438</v>
      </c>
      <c r="P61" s="189">
        <f t="shared" si="54"/>
        <v>3449214418</v>
      </c>
    </row>
    <row r="62" spans="1:16" s="1" customFormat="1" ht="18" customHeight="1" x14ac:dyDescent="0.2">
      <c r="A62" s="182"/>
      <c r="B62" s="296"/>
      <c r="C62" s="183" t="s">
        <v>2</v>
      </c>
      <c r="D62" s="184" t="s">
        <v>13</v>
      </c>
      <c r="E62" s="188">
        <f>E38+E57</f>
        <v>0</v>
      </c>
      <c r="F62" s="188">
        <f>F38+F57</f>
        <v>0</v>
      </c>
      <c r="G62" s="188">
        <f t="shared" ref="G62:H62" si="55">G38+G57</f>
        <v>0</v>
      </c>
      <c r="H62" s="188">
        <f t="shared" si="55"/>
        <v>0</v>
      </c>
      <c r="I62" s="326"/>
      <c r="J62" s="328"/>
      <c r="K62" s="183" t="s">
        <v>2</v>
      </c>
      <c r="L62" s="184" t="s">
        <v>13</v>
      </c>
      <c r="M62" s="188">
        <f t="shared" si="53"/>
        <v>5324000</v>
      </c>
      <c r="N62" s="188">
        <f t="shared" si="53"/>
        <v>7324000</v>
      </c>
      <c r="O62" s="188">
        <f t="shared" ref="O62:P62" si="56">O38+O57</f>
        <v>50000</v>
      </c>
      <c r="P62" s="189">
        <f t="shared" si="56"/>
        <v>7374000</v>
      </c>
    </row>
    <row r="63" spans="1:16" s="1" customFormat="1" ht="18" customHeight="1" x14ac:dyDescent="0.2">
      <c r="A63" s="187"/>
      <c r="B63" s="325"/>
      <c r="C63" s="183" t="s">
        <v>4</v>
      </c>
      <c r="D63" s="184" t="s">
        <v>12</v>
      </c>
      <c r="E63" s="185">
        <f>E39+E58</f>
        <v>0</v>
      </c>
      <c r="F63" s="185">
        <f>F39+F58</f>
        <v>0</v>
      </c>
      <c r="G63" s="185">
        <f t="shared" ref="G63:H63" si="57">G39+G58</f>
        <v>0</v>
      </c>
      <c r="H63" s="185">
        <f t="shared" si="57"/>
        <v>0</v>
      </c>
      <c r="I63" s="327"/>
      <c r="J63" s="328"/>
      <c r="K63" s="183" t="s">
        <v>4</v>
      </c>
      <c r="L63" s="184" t="s">
        <v>12</v>
      </c>
      <c r="M63" s="185">
        <f t="shared" si="53"/>
        <v>0</v>
      </c>
      <c r="N63" s="185">
        <f t="shared" si="53"/>
        <v>0</v>
      </c>
      <c r="O63" s="185">
        <f t="shared" ref="O63:P63" si="58">O39+O58</f>
        <v>0</v>
      </c>
      <c r="P63" s="186">
        <f t="shared" si="58"/>
        <v>0</v>
      </c>
    </row>
    <row r="64" spans="1:16" s="11" customFormat="1" ht="30" customHeight="1" thickBot="1" x14ac:dyDescent="0.25">
      <c r="A64" s="311" t="s">
        <v>71</v>
      </c>
      <c r="B64" s="312"/>
      <c r="C64" s="312"/>
      <c r="D64" s="313"/>
      <c r="E64" s="117">
        <f>M60-E60</f>
        <v>1251143279</v>
      </c>
      <c r="F64" s="117">
        <f>N60-F60</f>
        <v>1525267935</v>
      </c>
      <c r="G64" s="126">
        <f>O60-G60</f>
        <v>38472700</v>
      </c>
      <c r="H64" s="127">
        <f>P60-H60</f>
        <v>1563740635</v>
      </c>
      <c r="I64" s="311" t="s">
        <v>72</v>
      </c>
      <c r="J64" s="312"/>
      <c r="K64" s="312"/>
      <c r="L64" s="313"/>
      <c r="M64" s="130"/>
      <c r="N64" s="130"/>
      <c r="O64" s="130"/>
      <c r="P64" s="131"/>
    </row>
    <row r="65" spans="1:16" s="1" customFormat="1" ht="18" customHeight="1" x14ac:dyDescent="0.2">
      <c r="A65" s="34" t="s">
        <v>44</v>
      </c>
      <c r="B65" s="299" t="s">
        <v>42</v>
      </c>
      <c r="C65" s="300"/>
      <c r="D65" s="301"/>
      <c r="E65" s="111">
        <f>E66+E67+E68</f>
        <v>1785602784</v>
      </c>
      <c r="F65" s="111">
        <f>F66+F67+F68</f>
        <v>2259727440</v>
      </c>
      <c r="G65" s="111">
        <f t="shared" ref="G65" si="59">G66+G67+G68</f>
        <v>800000000</v>
      </c>
      <c r="H65" s="111">
        <f>H66+H67+H68</f>
        <v>3059727440</v>
      </c>
      <c r="I65" s="44" t="s">
        <v>44</v>
      </c>
      <c r="J65" s="302" t="s">
        <v>56</v>
      </c>
      <c r="K65" s="303"/>
      <c r="L65" s="304"/>
      <c r="M65" s="112">
        <f>M66+M67+M68</f>
        <v>534459505</v>
      </c>
      <c r="N65" s="112">
        <f>N66+N67+N68</f>
        <v>734459505</v>
      </c>
      <c r="O65" s="112">
        <f>O66+O67+O68</f>
        <v>761527300</v>
      </c>
      <c r="P65" s="113">
        <f>P66+P67+P68</f>
        <v>1495986805</v>
      </c>
    </row>
    <row r="66" spans="1:16" s="1" customFormat="1" ht="18" customHeight="1" x14ac:dyDescent="0.2">
      <c r="A66" s="27"/>
      <c r="B66" s="308" t="s">
        <v>73</v>
      </c>
      <c r="C66" s="24" t="s">
        <v>1</v>
      </c>
      <c r="D66" s="25" t="s">
        <v>85</v>
      </c>
      <c r="E66" s="100">
        <v>1785602784</v>
      </c>
      <c r="F66" s="100">
        <v>2059727440</v>
      </c>
      <c r="G66" s="101">
        <v>0</v>
      </c>
      <c r="H66" s="102">
        <f>+G66+F66</f>
        <v>2059727440</v>
      </c>
      <c r="I66" s="27"/>
      <c r="J66" s="308" t="s">
        <v>68</v>
      </c>
      <c r="K66" s="24" t="s">
        <v>1</v>
      </c>
      <c r="L66" s="25" t="s">
        <v>88</v>
      </c>
      <c r="M66" s="100">
        <v>518835505</v>
      </c>
      <c r="N66" s="100">
        <v>518835505</v>
      </c>
      <c r="O66" s="107">
        <f>11677300-11650000-38500000</f>
        <v>-38472700</v>
      </c>
      <c r="P66" s="102">
        <f>+O66+N66</f>
        <v>480362805</v>
      </c>
    </row>
    <row r="67" spans="1:16" s="1" customFormat="1" ht="30" customHeight="1" x14ac:dyDescent="0.2">
      <c r="A67" s="27"/>
      <c r="B67" s="309"/>
      <c r="C67" s="24" t="s">
        <v>2</v>
      </c>
      <c r="D67" s="294" t="s">
        <v>86</v>
      </c>
      <c r="E67" s="100">
        <v>0</v>
      </c>
      <c r="F67" s="100">
        <v>0</v>
      </c>
      <c r="G67" s="101">
        <v>0</v>
      </c>
      <c r="H67" s="102">
        <f>+G67+F67</f>
        <v>0</v>
      </c>
      <c r="I67" s="27"/>
      <c r="J67" s="309"/>
      <c r="K67" s="24" t="s">
        <v>2</v>
      </c>
      <c r="L67" s="294" t="s">
        <v>87</v>
      </c>
      <c r="M67" s="100">
        <v>15624000</v>
      </c>
      <c r="N67" s="100">
        <v>15624000</v>
      </c>
      <c r="O67" s="107">
        <v>0</v>
      </c>
      <c r="P67" s="102">
        <f>+O67+N67</f>
        <v>15624000</v>
      </c>
    </row>
    <row r="68" spans="1:16" s="1" customFormat="1" ht="18" customHeight="1" x14ac:dyDescent="0.2">
      <c r="A68" s="27"/>
      <c r="B68" s="310"/>
      <c r="C68" s="24" t="s">
        <v>4</v>
      </c>
      <c r="D68" s="25" t="s">
        <v>223</v>
      </c>
      <c r="E68" s="100">
        <v>0</v>
      </c>
      <c r="F68" s="100">
        <v>200000000</v>
      </c>
      <c r="G68" s="101">
        <f>200000000+600000000</f>
        <v>800000000</v>
      </c>
      <c r="H68" s="102">
        <f>+G68+F68</f>
        <v>1000000000</v>
      </c>
      <c r="I68" s="27"/>
      <c r="J68" s="310"/>
      <c r="K68" s="24" t="s">
        <v>4</v>
      </c>
      <c r="L68" s="25" t="s">
        <v>222</v>
      </c>
      <c r="M68" s="100">
        <v>0</v>
      </c>
      <c r="N68" s="100">
        <v>200000000</v>
      </c>
      <c r="O68" s="107">
        <f>200000000+600000000</f>
        <v>800000000</v>
      </c>
      <c r="P68" s="102">
        <f>+O68+N68</f>
        <v>1000000000</v>
      </c>
    </row>
    <row r="69" spans="1:16" s="7" customFormat="1" ht="18" customHeight="1" x14ac:dyDescent="0.2">
      <c r="A69" s="190" t="s">
        <v>45</v>
      </c>
      <c r="B69" s="305" t="s">
        <v>29</v>
      </c>
      <c r="C69" s="306"/>
      <c r="D69" s="307"/>
      <c r="E69" s="180">
        <f>E70+E71+E72</f>
        <v>2950747313</v>
      </c>
      <c r="F69" s="180">
        <f>F70+F71+F72</f>
        <v>4000984485</v>
      </c>
      <c r="G69" s="180">
        <f t="shared" ref="G69:H69" si="60">G70+G71+G72</f>
        <v>951590738</v>
      </c>
      <c r="H69" s="180">
        <f t="shared" si="60"/>
        <v>4952575223</v>
      </c>
      <c r="I69" s="191" t="s">
        <v>45</v>
      </c>
      <c r="J69" s="305" t="s">
        <v>30</v>
      </c>
      <c r="K69" s="306"/>
      <c r="L69" s="307"/>
      <c r="M69" s="180">
        <f>M70+M71+M72</f>
        <v>2950747313</v>
      </c>
      <c r="N69" s="180">
        <f>N70+N71+N72</f>
        <v>4000984485</v>
      </c>
      <c r="O69" s="180">
        <f>O70+O71+O72</f>
        <v>951590738</v>
      </c>
      <c r="P69" s="181">
        <f t="shared" ref="P69" si="61">P70+P71+P72</f>
        <v>4952575223</v>
      </c>
    </row>
    <row r="70" spans="1:16" s="7" customFormat="1" ht="18" customHeight="1" x14ac:dyDescent="0.2">
      <c r="A70" s="199"/>
      <c r="B70" s="295" t="s">
        <v>70</v>
      </c>
      <c r="C70" s="183" t="s">
        <v>1</v>
      </c>
      <c r="D70" s="184" t="s">
        <v>10</v>
      </c>
      <c r="E70" s="185">
        <f>E61+E66+E67+E68</f>
        <v>2950747313</v>
      </c>
      <c r="F70" s="185">
        <f>F61+F66+F67+F68</f>
        <v>4000984485</v>
      </c>
      <c r="G70" s="185">
        <f t="shared" ref="G70:H70" si="62">G61+G66+G67+G68</f>
        <v>951590738</v>
      </c>
      <c r="H70" s="185">
        <f t="shared" si="62"/>
        <v>4952575223</v>
      </c>
      <c r="I70" s="200"/>
      <c r="J70" s="295" t="s">
        <v>69</v>
      </c>
      <c r="K70" s="183" t="s">
        <v>1</v>
      </c>
      <c r="L70" s="184" t="s">
        <v>10</v>
      </c>
      <c r="M70" s="185">
        <f>M61+M66+M67+M68</f>
        <v>2945423313</v>
      </c>
      <c r="N70" s="185">
        <f>N61+N66+N67+N68</f>
        <v>3993660485</v>
      </c>
      <c r="O70" s="185">
        <f t="shared" ref="O70:P70" si="63">O61+O66+O67+O68</f>
        <v>951540738</v>
      </c>
      <c r="P70" s="186">
        <f t="shared" si="63"/>
        <v>4945201223</v>
      </c>
    </row>
    <row r="71" spans="1:16" s="7" customFormat="1" ht="18" customHeight="1" x14ac:dyDescent="0.2">
      <c r="A71" s="199"/>
      <c r="B71" s="296"/>
      <c r="C71" s="183" t="s">
        <v>2</v>
      </c>
      <c r="D71" s="184" t="s">
        <v>13</v>
      </c>
      <c r="E71" s="185">
        <f>E62</f>
        <v>0</v>
      </c>
      <c r="F71" s="185">
        <f>F62</f>
        <v>0</v>
      </c>
      <c r="G71" s="185">
        <f t="shared" ref="G71:H72" si="64">G62</f>
        <v>0</v>
      </c>
      <c r="H71" s="185">
        <f t="shared" si="64"/>
        <v>0</v>
      </c>
      <c r="I71" s="200"/>
      <c r="J71" s="296"/>
      <c r="K71" s="183" t="s">
        <v>2</v>
      </c>
      <c r="L71" s="184" t="s">
        <v>13</v>
      </c>
      <c r="M71" s="185">
        <f>M62</f>
        <v>5324000</v>
      </c>
      <c r="N71" s="185">
        <f>N62</f>
        <v>7324000</v>
      </c>
      <c r="O71" s="185">
        <f t="shared" ref="N71:P72" si="65">O62</f>
        <v>50000</v>
      </c>
      <c r="P71" s="186">
        <f t="shared" si="65"/>
        <v>7374000</v>
      </c>
    </row>
    <row r="72" spans="1:16" s="7" customFormat="1" ht="18" customHeight="1" thickBot="1" x14ac:dyDescent="0.25">
      <c r="A72" s="201"/>
      <c r="B72" s="297"/>
      <c r="C72" s="202" t="s">
        <v>4</v>
      </c>
      <c r="D72" s="203" t="s">
        <v>12</v>
      </c>
      <c r="E72" s="204">
        <f>E63</f>
        <v>0</v>
      </c>
      <c r="F72" s="204">
        <f>F63</f>
        <v>0</v>
      </c>
      <c r="G72" s="204">
        <f t="shared" si="64"/>
        <v>0</v>
      </c>
      <c r="H72" s="204">
        <f t="shared" si="64"/>
        <v>0</v>
      </c>
      <c r="I72" s="205"/>
      <c r="J72" s="297"/>
      <c r="K72" s="202" t="s">
        <v>4</v>
      </c>
      <c r="L72" s="203" t="s">
        <v>12</v>
      </c>
      <c r="M72" s="204">
        <f t="shared" ref="M72" si="66">M63</f>
        <v>0</v>
      </c>
      <c r="N72" s="204">
        <f t="shared" si="65"/>
        <v>0</v>
      </c>
      <c r="O72" s="204">
        <f t="shared" si="65"/>
        <v>0</v>
      </c>
      <c r="P72" s="206">
        <f t="shared" si="65"/>
        <v>0</v>
      </c>
    </row>
    <row r="74" spans="1:16" x14ac:dyDescent="0.2">
      <c r="O74" s="71"/>
      <c r="P74" s="5">
        <f>H69-P69</f>
        <v>0</v>
      </c>
    </row>
    <row r="75" spans="1:16" x14ac:dyDescent="0.2">
      <c r="A75" s="298"/>
      <c r="B75" s="298"/>
      <c r="C75" s="298"/>
      <c r="D75" s="298"/>
      <c r="E75" s="298"/>
      <c r="F75" s="298"/>
      <c r="G75" s="20"/>
      <c r="H75" s="20"/>
    </row>
  </sheetData>
  <sheetProtection formatCells="0"/>
  <mergeCells count="78">
    <mergeCell ref="A64:D64"/>
    <mergeCell ref="I64:L64"/>
    <mergeCell ref="B70:B72"/>
    <mergeCell ref="J70:J72"/>
    <mergeCell ref="A75:F75"/>
    <mergeCell ref="B65:D65"/>
    <mergeCell ref="J65:L65"/>
    <mergeCell ref="B69:D69"/>
    <mergeCell ref="J69:L69"/>
    <mergeCell ref="J66:J68"/>
    <mergeCell ref="B66:B68"/>
    <mergeCell ref="B56:B58"/>
    <mergeCell ref="J56:J58"/>
    <mergeCell ref="A59:D59"/>
    <mergeCell ref="I59:L59"/>
    <mergeCell ref="B61:B63"/>
    <mergeCell ref="I61:I63"/>
    <mergeCell ref="J61:J63"/>
    <mergeCell ref="B60:D60"/>
    <mergeCell ref="J60:L60"/>
    <mergeCell ref="B51:B54"/>
    <mergeCell ref="C51:D51"/>
    <mergeCell ref="J51:J54"/>
    <mergeCell ref="K51:L51"/>
    <mergeCell ref="B55:D55"/>
    <mergeCell ref="J55:L55"/>
    <mergeCell ref="B43:B46"/>
    <mergeCell ref="C43:D43"/>
    <mergeCell ref="J43:J46"/>
    <mergeCell ref="K43:L43"/>
    <mergeCell ref="B47:B50"/>
    <mergeCell ref="C47:D47"/>
    <mergeCell ref="J47:J50"/>
    <mergeCell ref="K47:L47"/>
    <mergeCell ref="J37:J39"/>
    <mergeCell ref="A30:H35"/>
    <mergeCell ref="A41:P41"/>
    <mergeCell ref="B42:D42"/>
    <mergeCell ref="J42:L42"/>
    <mergeCell ref="B22:B25"/>
    <mergeCell ref="C22:D22"/>
    <mergeCell ref="J22:J25"/>
    <mergeCell ref="K22:L22"/>
    <mergeCell ref="A40:D40"/>
    <mergeCell ref="I40:L40"/>
    <mergeCell ref="B26:B29"/>
    <mergeCell ref="C26:D26"/>
    <mergeCell ref="J26:J29"/>
    <mergeCell ref="K26:L26"/>
    <mergeCell ref="J30:J35"/>
    <mergeCell ref="K30:L30"/>
    <mergeCell ref="B36:D36"/>
    <mergeCell ref="J36:L36"/>
    <mergeCell ref="B37:B39"/>
    <mergeCell ref="I37:I39"/>
    <mergeCell ref="B14:B17"/>
    <mergeCell ref="C14:D14"/>
    <mergeCell ref="J14:J17"/>
    <mergeCell ref="K14:L14"/>
    <mergeCell ref="B18:B21"/>
    <mergeCell ref="C18:D18"/>
    <mergeCell ref="J18:J21"/>
    <mergeCell ref="K18:L18"/>
    <mergeCell ref="C11:D11"/>
    <mergeCell ref="K11:L11"/>
    <mergeCell ref="A12:P12"/>
    <mergeCell ref="B13:D13"/>
    <mergeCell ref="J13:L13"/>
    <mergeCell ref="L2:P2"/>
    <mergeCell ref="L1:P1"/>
    <mergeCell ref="D9:L9"/>
    <mergeCell ref="A10:F10"/>
    <mergeCell ref="I10:P10"/>
    <mergeCell ref="A4:P4"/>
    <mergeCell ref="A5:P5"/>
    <mergeCell ref="A6:P6"/>
    <mergeCell ref="A7:P7"/>
    <mergeCell ref="A8:P8"/>
  </mergeCells>
  <printOptions horizontalCentered="1"/>
  <pageMargins left="0.19685039370078741" right="0.19685039370078741" top="3.937007874015748E-2" bottom="0" header="0.43307086614173229" footer="0.51181102362204722"/>
  <pageSetup paperSize="9" scale="69" orientation="landscape" r:id="rId1"/>
  <headerFooter alignWithMargins="0"/>
  <rowBreaks count="1" manualBreakCount="1">
    <brk id="4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V74"/>
  <sheetViews>
    <sheetView zoomScaleNormal="100" workbookViewId="0">
      <selection activeCell="S68" sqref="S68"/>
    </sheetView>
  </sheetViews>
  <sheetFormatPr defaultColWidth="9.140625" defaultRowHeight="12.75" x14ac:dyDescent="0.2"/>
  <cols>
    <col min="1" max="1" width="5.5703125" style="20" customWidth="1"/>
    <col min="2" max="2" width="4.28515625" style="20" customWidth="1"/>
    <col min="3" max="3" width="3.7109375" style="3" customWidth="1"/>
    <col min="4" max="4" width="31.7109375" style="3" customWidth="1"/>
    <col min="5" max="8" width="12.7109375" style="5" customWidth="1"/>
    <col min="9" max="9" width="6.5703125" style="16" customWidth="1"/>
    <col min="10" max="10" width="4.28515625" style="16" customWidth="1"/>
    <col min="11" max="11" width="3.7109375" style="16" customWidth="1"/>
    <col min="12" max="12" width="31.7109375" style="3" customWidth="1"/>
    <col min="13" max="15" width="12.7109375" style="3" customWidth="1"/>
    <col min="16" max="16" width="12.7109375" style="5" customWidth="1"/>
    <col min="17" max="16384" width="9.140625" style="3"/>
  </cols>
  <sheetData>
    <row r="1" spans="1:22" ht="14.25" x14ac:dyDescent="0.2">
      <c r="L1" s="381" t="s">
        <v>201</v>
      </c>
      <c r="M1" s="381"/>
      <c r="N1" s="381"/>
      <c r="O1" s="381"/>
      <c r="P1" s="381"/>
      <c r="R1" s="43"/>
      <c r="S1" s="43"/>
      <c r="T1" s="43"/>
      <c r="U1" s="43"/>
      <c r="V1" s="43"/>
    </row>
    <row r="2" spans="1:22" ht="14.25" x14ac:dyDescent="0.2">
      <c r="L2" s="381" t="s">
        <v>202</v>
      </c>
      <c r="M2" s="381"/>
      <c r="N2" s="381"/>
      <c r="O2" s="381"/>
      <c r="P2" s="381"/>
      <c r="Q2" s="43"/>
      <c r="R2" s="43"/>
      <c r="S2" s="43"/>
      <c r="T2" s="43"/>
      <c r="U2" s="43"/>
      <c r="V2" s="43"/>
    </row>
    <row r="3" spans="1:22" ht="14.25" x14ac:dyDescent="0.2">
      <c r="L3" s="46"/>
      <c r="M3" s="46"/>
      <c r="N3" s="46"/>
      <c r="O3" s="46"/>
      <c r="P3" s="46"/>
      <c r="Q3" s="43"/>
      <c r="R3" s="43"/>
      <c r="S3" s="43"/>
      <c r="T3" s="43"/>
      <c r="U3" s="43"/>
      <c r="V3" s="43"/>
    </row>
    <row r="4" spans="1:22" ht="15.95" customHeight="1" x14ac:dyDescent="0.25">
      <c r="A4" s="372" t="s">
        <v>163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" t="s">
        <v>39</v>
      </c>
    </row>
    <row r="5" spans="1:22" ht="15.95" customHeight="1" x14ac:dyDescent="0.25">
      <c r="A5" s="372" t="s">
        <v>27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</row>
    <row r="6" spans="1:22" ht="15.95" customHeight="1" x14ac:dyDescent="0.25">
      <c r="A6" s="372" t="s">
        <v>50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</row>
    <row r="7" spans="1:22" ht="15.95" customHeight="1" x14ac:dyDescent="0.25">
      <c r="A7" s="372" t="s">
        <v>194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</row>
    <row r="8" spans="1:22" ht="15.95" customHeight="1" x14ac:dyDescent="0.25">
      <c r="A8" s="372" t="s">
        <v>246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</row>
    <row r="9" spans="1:22" ht="15.95" customHeight="1" thickBot="1" x14ac:dyDescent="0.35">
      <c r="D9" s="382"/>
      <c r="E9" s="382"/>
      <c r="F9" s="382"/>
      <c r="G9" s="382"/>
      <c r="H9" s="382"/>
      <c r="I9" s="382"/>
      <c r="J9" s="382"/>
      <c r="K9" s="382"/>
      <c r="L9" s="382"/>
      <c r="M9" s="45"/>
      <c r="N9" s="45"/>
      <c r="O9" s="45"/>
      <c r="P9" s="14" t="s">
        <v>155</v>
      </c>
    </row>
    <row r="10" spans="1:22" s="6" customFormat="1" ht="21.95" customHeight="1" x14ac:dyDescent="0.2">
      <c r="A10" s="374" t="s">
        <v>48</v>
      </c>
      <c r="B10" s="375"/>
      <c r="C10" s="375"/>
      <c r="D10" s="375"/>
      <c r="E10" s="375"/>
      <c r="F10" s="375"/>
      <c r="G10" s="94"/>
      <c r="H10" s="94"/>
      <c r="I10" s="374" t="s">
        <v>49</v>
      </c>
      <c r="J10" s="375"/>
      <c r="K10" s="375"/>
      <c r="L10" s="375"/>
      <c r="M10" s="375"/>
      <c r="N10" s="375"/>
      <c r="O10" s="375"/>
      <c r="P10" s="376"/>
    </row>
    <row r="11" spans="1:22" s="6" customFormat="1" ht="35.1" customHeight="1" thickBot="1" x14ac:dyDescent="0.25">
      <c r="A11" s="292" t="s">
        <v>90</v>
      </c>
      <c r="B11" s="293" t="s">
        <v>253</v>
      </c>
      <c r="C11" s="377"/>
      <c r="D11" s="378"/>
      <c r="E11" s="96" t="s">
        <v>140</v>
      </c>
      <c r="F11" s="95" t="s">
        <v>141</v>
      </c>
      <c r="G11" s="96" t="s">
        <v>140</v>
      </c>
      <c r="H11" s="97" t="s">
        <v>141</v>
      </c>
      <c r="I11" s="292" t="str">
        <f>A11</f>
        <v>EI.Csop.</v>
      </c>
      <c r="J11" s="293" t="s">
        <v>253</v>
      </c>
      <c r="K11" s="379"/>
      <c r="L11" s="380"/>
      <c r="M11" s="96" t="s">
        <v>140</v>
      </c>
      <c r="N11" s="95" t="s">
        <v>141</v>
      </c>
      <c r="O11" s="96" t="s">
        <v>140</v>
      </c>
      <c r="P11" s="97" t="s">
        <v>141</v>
      </c>
    </row>
    <row r="12" spans="1:22" s="1" customFormat="1" ht="18" customHeight="1" x14ac:dyDescent="0.2">
      <c r="A12" s="340" t="s">
        <v>47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2"/>
    </row>
    <row r="13" spans="1:22" s="2" customFormat="1" ht="18" customHeight="1" x14ac:dyDescent="0.2">
      <c r="A13" s="21" t="s">
        <v>0</v>
      </c>
      <c r="B13" s="343" t="s">
        <v>46</v>
      </c>
      <c r="C13" s="344"/>
      <c r="D13" s="345"/>
      <c r="E13" s="99">
        <f t="shared" ref="E13" si="0">E14+E18+E22+E26</f>
        <v>960000</v>
      </c>
      <c r="F13" s="98">
        <f>F14+F18+F22+F26</f>
        <v>2077000</v>
      </c>
      <c r="G13" s="99">
        <f t="shared" ref="G13:H13" si="1">G14+G18+G22+G26</f>
        <v>654300</v>
      </c>
      <c r="H13" s="98">
        <f t="shared" si="1"/>
        <v>2731300</v>
      </c>
      <c r="I13" s="33" t="s">
        <v>0</v>
      </c>
      <c r="J13" s="369" t="s">
        <v>21</v>
      </c>
      <c r="K13" s="370"/>
      <c r="L13" s="371"/>
      <c r="M13" s="104">
        <f t="shared" ref="M13" si="2">M14+M18+M22+M30+M26</f>
        <v>517509505</v>
      </c>
      <c r="N13" s="103">
        <f>N14+N18+N22+N26+N30</f>
        <v>542911094</v>
      </c>
      <c r="O13" s="104">
        <f t="shared" ref="O13:P13" si="3">O14+O18+O22+O30+O26</f>
        <v>-36318400</v>
      </c>
      <c r="P13" s="105">
        <f t="shared" si="3"/>
        <v>506592694</v>
      </c>
    </row>
    <row r="14" spans="1:22" s="1" customFormat="1" ht="30" customHeight="1" x14ac:dyDescent="0.2">
      <c r="A14" s="22"/>
      <c r="B14" s="329" t="s">
        <v>62</v>
      </c>
      <c r="C14" s="332" t="s">
        <v>53</v>
      </c>
      <c r="D14" s="333"/>
      <c r="E14" s="99">
        <f t="shared" ref="E14" si="4">E15+E16+E17</f>
        <v>0</v>
      </c>
      <c r="F14" s="98">
        <f>F15+F16+F17</f>
        <v>1017000</v>
      </c>
      <c r="G14" s="99">
        <f t="shared" ref="G14:H14" si="5">G15+G16+G17</f>
        <v>654300</v>
      </c>
      <c r="H14" s="98">
        <f t="shared" si="5"/>
        <v>1671300</v>
      </c>
      <c r="I14" s="18"/>
      <c r="J14" s="334" t="s">
        <v>57</v>
      </c>
      <c r="K14" s="354" t="s">
        <v>17</v>
      </c>
      <c r="L14" s="354"/>
      <c r="M14" s="99">
        <f t="shared" ref="M14" si="6">M15+M16+M17</f>
        <v>402734928</v>
      </c>
      <c r="N14" s="98">
        <f>N15+N16+N17</f>
        <v>421640166</v>
      </c>
      <c r="O14" s="99">
        <f t="shared" ref="O14" si="7">O15+O16+O17</f>
        <v>-20969362</v>
      </c>
      <c r="P14" s="106">
        <f>P15+P16+P17</f>
        <v>400670804</v>
      </c>
    </row>
    <row r="15" spans="1:22" s="1" customFormat="1" ht="18" customHeight="1" x14ac:dyDescent="0.2">
      <c r="A15" s="22"/>
      <c r="B15" s="330"/>
      <c r="C15" s="24" t="s">
        <v>1</v>
      </c>
      <c r="D15" s="25" t="s">
        <v>10</v>
      </c>
      <c r="E15" s="101">
        <v>0</v>
      </c>
      <c r="F15" s="100">
        <v>1017000</v>
      </c>
      <c r="G15" s="101">
        <v>654300</v>
      </c>
      <c r="H15" s="102">
        <f>+G15+F15</f>
        <v>1671300</v>
      </c>
      <c r="I15" s="18"/>
      <c r="J15" s="335"/>
      <c r="K15" s="24" t="s">
        <v>1</v>
      </c>
      <c r="L15" s="25" t="s">
        <v>10</v>
      </c>
      <c r="M15" s="107">
        <v>402734928</v>
      </c>
      <c r="N15" s="100">
        <v>421640166</v>
      </c>
      <c r="O15" s="107">
        <f>10376338-10000000-22000000+654300</f>
        <v>-20969362</v>
      </c>
      <c r="P15" s="102">
        <f>+O15+N15</f>
        <v>400670804</v>
      </c>
    </row>
    <row r="16" spans="1:22" s="1" customFormat="1" ht="18" customHeight="1" x14ac:dyDescent="0.2">
      <c r="A16" s="22"/>
      <c r="B16" s="330"/>
      <c r="C16" s="24" t="s">
        <v>2</v>
      </c>
      <c r="D16" s="25" t="s">
        <v>13</v>
      </c>
      <c r="E16" s="101">
        <v>0</v>
      </c>
      <c r="F16" s="100">
        <v>0</v>
      </c>
      <c r="G16" s="101">
        <v>0</v>
      </c>
      <c r="H16" s="102">
        <f>+G16+F16</f>
        <v>0</v>
      </c>
      <c r="I16" s="18"/>
      <c r="J16" s="335"/>
      <c r="K16" s="24" t="s">
        <v>2</v>
      </c>
      <c r="L16" s="25" t="s">
        <v>13</v>
      </c>
      <c r="M16" s="107">
        <v>0</v>
      </c>
      <c r="N16" s="100">
        <v>0</v>
      </c>
      <c r="O16" s="107">
        <v>0</v>
      </c>
      <c r="P16" s="102">
        <f>+O16+N16</f>
        <v>0</v>
      </c>
    </row>
    <row r="17" spans="1:18" s="1" customFormat="1" ht="18" customHeight="1" x14ac:dyDescent="0.2">
      <c r="A17" s="22"/>
      <c r="B17" s="331"/>
      <c r="C17" s="24" t="s">
        <v>4</v>
      </c>
      <c r="D17" s="25" t="s">
        <v>12</v>
      </c>
      <c r="E17" s="101">
        <v>0</v>
      </c>
      <c r="F17" s="100">
        <v>0</v>
      </c>
      <c r="G17" s="101">
        <v>0</v>
      </c>
      <c r="H17" s="102">
        <f>+G17+F17</f>
        <v>0</v>
      </c>
      <c r="I17" s="18"/>
      <c r="J17" s="336"/>
      <c r="K17" s="24" t="s">
        <v>4</v>
      </c>
      <c r="L17" s="25" t="s">
        <v>12</v>
      </c>
      <c r="M17" s="107">
        <v>0</v>
      </c>
      <c r="N17" s="100">
        <v>0</v>
      </c>
      <c r="O17" s="107">
        <v>0</v>
      </c>
      <c r="P17" s="102">
        <f>+O17+N17</f>
        <v>0</v>
      </c>
    </row>
    <row r="18" spans="1:18" s="1" customFormat="1" ht="30" customHeight="1" x14ac:dyDescent="0.2">
      <c r="A18" s="22"/>
      <c r="B18" s="329" t="s">
        <v>75</v>
      </c>
      <c r="C18" s="332" t="s">
        <v>6</v>
      </c>
      <c r="D18" s="333"/>
      <c r="E18" s="99">
        <f t="shared" ref="E18" si="8">E19+E20+E21</f>
        <v>0</v>
      </c>
      <c r="F18" s="98">
        <f>F19+F20+F21</f>
        <v>100000</v>
      </c>
      <c r="G18" s="99">
        <f t="shared" ref="G18:H18" si="9">G19+G20+G21</f>
        <v>0</v>
      </c>
      <c r="H18" s="98">
        <f t="shared" si="9"/>
        <v>100000</v>
      </c>
      <c r="I18" s="18"/>
      <c r="J18" s="334" t="s">
        <v>58</v>
      </c>
      <c r="K18" s="339" t="s">
        <v>20</v>
      </c>
      <c r="L18" s="339"/>
      <c r="M18" s="99">
        <f>M19+M20+M21</f>
        <v>59780095</v>
      </c>
      <c r="N18" s="98">
        <f>N19+N20+N21</f>
        <v>62231857</v>
      </c>
      <c r="O18" s="99">
        <f>O19+O20+O21</f>
        <v>-5999038</v>
      </c>
      <c r="P18" s="106">
        <f>P19+P20+P21</f>
        <v>56232819</v>
      </c>
    </row>
    <row r="19" spans="1:18" s="1" customFormat="1" ht="18" customHeight="1" x14ac:dyDescent="0.2">
      <c r="A19" s="22"/>
      <c r="B19" s="330"/>
      <c r="C19" s="24" t="s">
        <v>1</v>
      </c>
      <c r="D19" s="25" t="s">
        <v>10</v>
      </c>
      <c r="E19" s="101">
        <v>0</v>
      </c>
      <c r="F19" s="100">
        <v>0</v>
      </c>
      <c r="G19" s="101">
        <v>0</v>
      </c>
      <c r="H19" s="102">
        <f>+G19+F19</f>
        <v>0</v>
      </c>
      <c r="I19" s="18"/>
      <c r="J19" s="335"/>
      <c r="K19" s="24" t="s">
        <v>1</v>
      </c>
      <c r="L19" s="25" t="s">
        <v>10</v>
      </c>
      <c r="M19" s="107">
        <v>59780095</v>
      </c>
      <c r="N19" s="100">
        <v>62231857</v>
      </c>
      <c r="O19" s="107">
        <f>1300962-1300000-6000000</f>
        <v>-5999038</v>
      </c>
      <c r="P19" s="102">
        <f>+O19+N19</f>
        <v>56232819</v>
      </c>
    </row>
    <row r="20" spans="1:18" s="1" customFormat="1" ht="18" customHeight="1" x14ac:dyDescent="0.2">
      <c r="A20" s="22"/>
      <c r="B20" s="330"/>
      <c r="C20" s="24" t="s">
        <v>2</v>
      </c>
      <c r="D20" s="25" t="s">
        <v>13</v>
      </c>
      <c r="E20" s="101">
        <v>0</v>
      </c>
      <c r="F20" s="100">
        <v>0</v>
      </c>
      <c r="G20" s="101">
        <v>0</v>
      </c>
      <c r="H20" s="102">
        <f>+G20+F20</f>
        <v>0</v>
      </c>
      <c r="I20" s="18"/>
      <c r="J20" s="335"/>
      <c r="K20" s="24" t="s">
        <v>2</v>
      </c>
      <c r="L20" s="25" t="s">
        <v>13</v>
      </c>
      <c r="M20" s="107">
        <v>0</v>
      </c>
      <c r="N20" s="100">
        <v>0</v>
      </c>
      <c r="O20" s="107">
        <v>0</v>
      </c>
      <c r="P20" s="102">
        <f>+O20+N20</f>
        <v>0</v>
      </c>
    </row>
    <row r="21" spans="1:18" s="1" customFormat="1" ht="18" customHeight="1" x14ac:dyDescent="0.2">
      <c r="A21" s="22"/>
      <c r="B21" s="331"/>
      <c r="C21" s="24" t="s">
        <v>4</v>
      </c>
      <c r="D21" s="25" t="s">
        <v>12</v>
      </c>
      <c r="E21" s="101">
        <v>0</v>
      </c>
      <c r="F21" s="100">
        <v>100000</v>
      </c>
      <c r="G21" s="101">
        <v>0</v>
      </c>
      <c r="H21" s="102">
        <f>+G21+F21</f>
        <v>100000</v>
      </c>
      <c r="I21" s="18"/>
      <c r="J21" s="336"/>
      <c r="K21" s="24" t="s">
        <v>4</v>
      </c>
      <c r="L21" s="25" t="s">
        <v>12</v>
      </c>
      <c r="M21" s="107">
        <v>0</v>
      </c>
      <c r="N21" s="100">
        <v>0</v>
      </c>
      <c r="O21" s="107">
        <v>0</v>
      </c>
      <c r="P21" s="102">
        <f>+O21+N21</f>
        <v>0</v>
      </c>
    </row>
    <row r="22" spans="1:18" s="1" customFormat="1" ht="18" customHeight="1" x14ac:dyDescent="0.2">
      <c r="A22" s="22"/>
      <c r="B22" s="329" t="s">
        <v>76</v>
      </c>
      <c r="C22" s="332" t="s">
        <v>37</v>
      </c>
      <c r="D22" s="333"/>
      <c r="E22" s="99">
        <f t="shared" ref="E22" si="10">E23+E24+E25</f>
        <v>960000</v>
      </c>
      <c r="F22" s="98">
        <f>F23+F24+F25</f>
        <v>960000</v>
      </c>
      <c r="G22" s="99">
        <f t="shared" ref="G22:H22" si="11">G23+G24+G25</f>
        <v>0</v>
      </c>
      <c r="H22" s="98">
        <f t="shared" si="11"/>
        <v>960000</v>
      </c>
      <c r="I22" s="18"/>
      <c r="J22" s="334" t="s">
        <v>59</v>
      </c>
      <c r="K22" s="339" t="s">
        <v>34</v>
      </c>
      <c r="L22" s="339"/>
      <c r="M22" s="99">
        <f t="shared" ref="M22" si="12">M23+M24+M25</f>
        <v>54994482</v>
      </c>
      <c r="N22" s="98">
        <f>N23+N24+N25</f>
        <v>59039071</v>
      </c>
      <c r="O22" s="99">
        <f t="shared" ref="O22:P22" si="13">O23+O24+O25</f>
        <v>-9350000</v>
      </c>
      <c r="P22" s="106">
        <f t="shared" si="13"/>
        <v>49689071</v>
      </c>
    </row>
    <row r="23" spans="1:18" s="1" customFormat="1" ht="18" customHeight="1" x14ac:dyDescent="0.2">
      <c r="A23" s="22"/>
      <c r="B23" s="330"/>
      <c r="C23" s="24" t="s">
        <v>1</v>
      </c>
      <c r="D23" s="25" t="s">
        <v>10</v>
      </c>
      <c r="E23" s="101">
        <v>960000</v>
      </c>
      <c r="F23" s="100">
        <v>960000</v>
      </c>
      <c r="G23" s="101">
        <v>0</v>
      </c>
      <c r="H23" s="102">
        <f>+G23+F23</f>
        <v>960000</v>
      </c>
      <c r="I23" s="18"/>
      <c r="J23" s="335"/>
      <c r="K23" s="24" t="s">
        <v>1</v>
      </c>
      <c r="L23" s="25" t="s">
        <v>10</v>
      </c>
      <c r="M23" s="107">
        <v>54994482</v>
      </c>
      <c r="N23" s="100">
        <v>59039071</v>
      </c>
      <c r="O23" s="107">
        <f>-350000-9000000</f>
        <v>-9350000</v>
      </c>
      <c r="P23" s="102">
        <f>+O23+N23</f>
        <v>49689071</v>
      </c>
    </row>
    <row r="24" spans="1:18" s="1" customFormat="1" ht="18" customHeight="1" x14ac:dyDescent="0.2">
      <c r="A24" s="22"/>
      <c r="B24" s="330"/>
      <c r="C24" s="24" t="s">
        <v>2</v>
      </c>
      <c r="D24" s="25" t="s">
        <v>13</v>
      </c>
      <c r="E24" s="101">
        <v>0</v>
      </c>
      <c r="F24" s="100">
        <v>0</v>
      </c>
      <c r="G24" s="101">
        <v>0</v>
      </c>
      <c r="H24" s="102">
        <f>+G24+F24</f>
        <v>0</v>
      </c>
      <c r="I24" s="18"/>
      <c r="J24" s="335"/>
      <c r="K24" s="24" t="s">
        <v>2</v>
      </c>
      <c r="L24" s="25" t="s">
        <v>13</v>
      </c>
      <c r="M24" s="107">
        <v>0</v>
      </c>
      <c r="N24" s="100">
        <v>0</v>
      </c>
      <c r="O24" s="107">
        <v>0</v>
      </c>
      <c r="P24" s="102">
        <f>+O24+N24</f>
        <v>0</v>
      </c>
    </row>
    <row r="25" spans="1:18" s="1" customFormat="1" ht="18" customHeight="1" x14ac:dyDescent="0.2">
      <c r="A25" s="22"/>
      <c r="B25" s="331"/>
      <c r="C25" s="24" t="s">
        <v>4</v>
      </c>
      <c r="D25" s="25" t="s">
        <v>12</v>
      </c>
      <c r="E25" s="101">
        <v>0</v>
      </c>
      <c r="F25" s="100">
        <v>0</v>
      </c>
      <c r="G25" s="101">
        <v>0</v>
      </c>
      <c r="H25" s="102">
        <f>+G25+F25</f>
        <v>0</v>
      </c>
      <c r="I25" s="18"/>
      <c r="J25" s="336"/>
      <c r="K25" s="24" t="s">
        <v>4</v>
      </c>
      <c r="L25" s="25" t="s">
        <v>12</v>
      </c>
      <c r="M25" s="107">
        <v>0</v>
      </c>
      <c r="N25" s="100">
        <v>0</v>
      </c>
      <c r="O25" s="107">
        <v>0</v>
      </c>
      <c r="P25" s="102">
        <f>+O25+N25</f>
        <v>0</v>
      </c>
    </row>
    <row r="26" spans="1:18" s="1" customFormat="1" ht="18" customHeight="1" x14ac:dyDescent="0.2">
      <c r="A26" s="22"/>
      <c r="B26" s="329" t="s">
        <v>78</v>
      </c>
      <c r="C26" s="349" t="s">
        <v>52</v>
      </c>
      <c r="D26" s="350"/>
      <c r="E26" s="99">
        <f t="shared" ref="E26" si="14">E27+E28+E29</f>
        <v>0</v>
      </c>
      <c r="F26" s="98">
        <f>F27+F28+F29</f>
        <v>0</v>
      </c>
      <c r="G26" s="99">
        <f t="shared" ref="G26:H26" si="15">G27+G28+G29</f>
        <v>0</v>
      </c>
      <c r="H26" s="98">
        <f t="shared" si="15"/>
        <v>0</v>
      </c>
      <c r="I26" s="18"/>
      <c r="J26" s="334" t="s">
        <v>60</v>
      </c>
      <c r="K26" s="354" t="s">
        <v>8</v>
      </c>
      <c r="L26" s="354"/>
      <c r="M26" s="99">
        <f t="shared" ref="M26" si="16">M27+M28+M29</f>
        <v>0</v>
      </c>
      <c r="N26" s="98">
        <f>N27+N28+N29</f>
        <v>0</v>
      </c>
      <c r="O26" s="99">
        <f t="shared" ref="O26:P26" si="17">O27+O28+O29</f>
        <v>0</v>
      </c>
      <c r="P26" s="106">
        <f t="shared" si="17"/>
        <v>0</v>
      </c>
    </row>
    <row r="27" spans="1:18" s="1" customFormat="1" ht="18" customHeight="1" x14ac:dyDescent="0.2">
      <c r="A27" s="22"/>
      <c r="B27" s="330"/>
      <c r="C27" s="24" t="s">
        <v>1</v>
      </c>
      <c r="D27" s="25" t="s">
        <v>10</v>
      </c>
      <c r="E27" s="101">
        <v>0</v>
      </c>
      <c r="F27" s="100">
        <v>0</v>
      </c>
      <c r="G27" s="101">
        <v>0</v>
      </c>
      <c r="H27" s="102">
        <f>+G27+F27</f>
        <v>0</v>
      </c>
      <c r="I27" s="18"/>
      <c r="J27" s="335"/>
      <c r="K27" s="24" t="s">
        <v>1</v>
      </c>
      <c r="L27" s="25" t="s">
        <v>10</v>
      </c>
      <c r="M27" s="107">
        <v>0</v>
      </c>
      <c r="N27" s="100">
        <v>0</v>
      </c>
      <c r="O27" s="107">
        <v>0</v>
      </c>
      <c r="P27" s="102">
        <f>+O27+N27</f>
        <v>0</v>
      </c>
    </row>
    <row r="28" spans="1:18" s="1" customFormat="1" ht="18" customHeight="1" x14ac:dyDescent="0.2">
      <c r="A28" s="22"/>
      <c r="B28" s="330"/>
      <c r="C28" s="24" t="s">
        <v>2</v>
      </c>
      <c r="D28" s="25" t="s">
        <v>13</v>
      </c>
      <c r="E28" s="101">
        <v>0</v>
      </c>
      <c r="F28" s="100">
        <v>0</v>
      </c>
      <c r="G28" s="101">
        <v>0</v>
      </c>
      <c r="H28" s="102">
        <f>+G28+F28</f>
        <v>0</v>
      </c>
      <c r="I28" s="18"/>
      <c r="J28" s="335"/>
      <c r="K28" s="24" t="s">
        <v>2</v>
      </c>
      <c r="L28" s="25" t="s">
        <v>13</v>
      </c>
      <c r="M28" s="107">
        <v>0</v>
      </c>
      <c r="N28" s="100">
        <v>0</v>
      </c>
      <c r="O28" s="107">
        <v>0</v>
      </c>
      <c r="P28" s="102">
        <f>+O28+N28</f>
        <v>0</v>
      </c>
    </row>
    <row r="29" spans="1:18" s="1" customFormat="1" ht="18" customHeight="1" x14ac:dyDescent="0.2">
      <c r="A29" s="23"/>
      <c r="B29" s="331"/>
      <c r="C29" s="24" t="s">
        <v>4</v>
      </c>
      <c r="D29" s="25" t="s">
        <v>12</v>
      </c>
      <c r="E29" s="101">
        <v>0</v>
      </c>
      <c r="F29" s="100">
        <v>0</v>
      </c>
      <c r="G29" s="101">
        <v>0</v>
      </c>
      <c r="H29" s="102">
        <f>+G29+F29</f>
        <v>0</v>
      </c>
      <c r="I29" s="18"/>
      <c r="J29" s="336"/>
      <c r="K29" s="24" t="s">
        <v>4</v>
      </c>
      <c r="L29" s="25" t="s">
        <v>12</v>
      </c>
      <c r="M29" s="107">
        <v>0</v>
      </c>
      <c r="N29" s="100">
        <v>0</v>
      </c>
      <c r="O29" s="107">
        <v>0</v>
      </c>
      <c r="P29" s="102">
        <f>+O29+N29</f>
        <v>0</v>
      </c>
    </row>
    <row r="30" spans="1:18" s="1" customFormat="1" ht="18" customHeight="1" x14ac:dyDescent="0.2">
      <c r="A30" s="355"/>
      <c r="B30" s="356"/>
      <c r="C30" s="356"/>
      <c r="D30" s="356"/>
      <c r="E30" s="356"/>
      <c r="F30" s="356"/>
      <c r="G30" s="356"/>
      <c r="H30" s="357"/>
      <c r="I30" s="18"/>
      <c r="J30" s="334" t="s">
        <v>61</v>
      </c>
      <c r="K30" s="339" t="s">
        <v>14</v>
      </c>
      <c r="L30" s="339"/>
      <c r="M30" s="99">
        <f t="shared" ref="M30" si="18">M31+M34+M35</f>
        <v>0</v>
      </c>
      <c r="N30" s="98">
        <f>N31+N34+N35</f>
        <v>0</v>
      </c>
      <c r="O30" s="99">
        <f t="shared" ref="O30:P30" si="19">O31+O34+O35</f>
        <v>0</v>
      </c>
      <c r="P30" s="106">
        <f t="shared" si="19"/>
        <v>0</v>
      </c>
    </row>
    <row r="31" spans="1:18" s="1" customFormat="1" ht="18" customHeight="1" x14ac:dyDescent="0.2">
      <c r="A31" s="358"/>
      <c r="B31" s="359"/>
      <c r="C31" s="359"/>
      <c r="D31" s="359"/>
      <c r="E31" s="359"/>
      <c r="F31" s="359"/>
      <c r="G31" s="359"/>
      <c r="H31" s="360"/>
      <c r="I31" s="18"/>
      <c r="J31" s="335"/>
      <c r="K31" s="24" t="s">
        <v>1</v>
      </c>
      <c r="L31" s="25" t="s">
        <v>10</v>
      </c>
      <c r="M31" s="107">
        <v>0</v>
      </c>
      <c r="N31" s="100">
        <v>0</v>
      </c>
      <c r="O31" s="107">
        <v>0</v>
      </c>
      <c r="P31" s="102">
        <f>+O31+N31</f>
        <v>0</v>
      </c>
    </row>
    <row r="32" spans="1:18" s="1" customFormat="1" ht="18" customHeight="1" x14ac:dyDescent="0.2">
      <c r="A32" s="358"/>
      <c r="B32" s="359"/>
      <c r="C32" s="359"/>
      <c r="D32" s="359"/>
      <c r="E32" s="359"/>
      <c r="F32" s="359"/>
      <c r="G32" s="359"/>
      <c r="H32" s="360"/>
      <c r="I32" s="18"/>
      <c r="J32" s="335"/>
      <c r="K32" s="30" t="s">
        <v>92</v>
      </c>
      <c r="L32" s="31" t="s">
        <v>94</v>
      </c>
      <c r="M32" s="107">
        <v>0</v>
      </c>
      <c r="N32" s="108">
        <v>0</v>
      </c>
      <c r="O32" s="107">
        <v>0</v>
      </c>
      <c r="P32" s="102">
        <f>+O32+N32</f>
        <v>0</v>
      </c>
      <c r="Q32" s="37"/>
      <c r="R32" s="37"/>
    </row>
    <row r="33" spans="1:16" s="1" customFormat="1" ht="18" customHeight="1" x14ac:dyDescent="0.2">
      <c r="A33" s="358"/>
      <c r="B33" s="359"/>
      <c r="C33" s="359"/>
      <c r="D33" s="359"/>
      <c r="E33" s="359"/>
      <c r="F33" s="359"/>
      <c r="G33" s="359"/>
      <c r="H33" s="360"/>
      <c r="I33" s="18"/>
      <c r="J33" s="335"/>
      <c r="K33" s="30" t="s">
        <v>93</v>
      </c>
      <c r="L33" s="31" t="s">
        <v>95</v>
      </c>
      <c r="M33" s="107">
        <v>0</v>
      </c>
      <c r="N33" s="109">
        <v>0</v>
      </c>
      <c r="O33" s="107">
        <v>0</v>
      </c>
      <c r="P33" s="102">
        <f>+O33+N33</f>
        <v>0</v>
      </c>
    </row>
    <row r="34" spans="1:16" s="1" customFormat="1" ht="18" customHeight="1" x14ac:dyDescent="0.2">
      <c r="A34" s="358"/>
      <c r="B34" s="359"/>
      <c r="C34" s="359"/>
      <c r="D34" s="359"/>
      <c r="E34" s="359"/>
      <c r="F34" s="359"/>
      <c r="G34" s="359"/>
      <c r="H34" s="360"/>
      <c r="I34" s="18"/>
      <c r="J34" s="335"/>
      <c r="K34" s="24" t="s">
        <v>2</v>
      </c>
      <c r="L34" s="25" t="s">
        <v>13</v>
      </c>
      <c r="M34" s="107">
        <v>0</v>
      </c>
      <c r="N34" s="110">
        <v>0</v>
      </c>
      <c r="O34" s="107">
        <v>0</v>
      </c>
      <c r="P34" s="102">
        <f>+O34+N34</f>
        <v>0</v>
      </c>
    </row>
    <row r="35" spans="1:16" s="1" customFormat="1" ht="18" customHeight="1" x14ac:dyDescent="0.2">
      <c r="A35" s="361"/>
      <c r="B35" s="362"/>
      <c r="C35" s="362"/>
      <c r="D35" s="362"/>
      <c r="E35" s="362"/>
      <c r="F35" s="362"/>
      <c r="G35" s="362"/>
      <c r="H35" s="363"/>
      <c r="I35" s="17"/>
      <c r="J35" s="336"/>
      <c r="K35" s="24" t="s">
        <v>4</v>
      </c>
      <c r="L35" s="25" t="s">
        <v>12</v>
      </c>
      <c r="M35" s="107">
        <v>0</v>
      </c>
      <c r="N35" s="100">
        <v>0</v>
      </c>
      <c r="O35" s="107">
        <v>0</v>
      </c>
      <c r="P35" s="102">
        <f>+O35+N35</f>
        <v>0</v>
      </c>
    </row>
    <row r="36" spans="1:16" s="1" customFormat="1" ht="30" customHeight="1" x14ac:dyDescent="0.2">
      <c r="A36" s="177" t="s">
        <v>0</v>
      </c>
      <c r="B36" s="320" t="s">
        <v>23</v>
      </c>
      <c r="C36" s="321"/>
      <c r="D36" s="322"/>
      <c r="E36" s="178">
        <f t="shared" ref="E36" si="20">+E37+E38+E39</f>
        <v>960000</v>
      </c>
      <c r="F36" s="178">
        <f>+F37+F38+F39</f>
        <v>2077000</v>
      </c>
      <c r="G36" s="178">
        <f t="shared" ref="G36:H36" si="21">+G37+G38+G39</f>
        <v>654300</v>
      </c>
      <c r="H36" s="178">
        <f t="shared" si="21"/>
        <v>2731300</v>
      </c>
      <c r="I36" s="179" t="s">
        <v>0</v>
      </c>
      <c r="J36" s="322" t="s">
        <v>18</v>
      </c>
      <c r="K36" s="364"/>
      <c r="L36" s="364"/>
      <c r="M36" s="180">
        <f t="shared" ref="M36" si="22">+M37+M38+M39</f>
        <v>517509505</v>
      </c>
      <c r="N36" s="180">
        <f>+N37+N38+N39</f>
        <v>542911094</v>
      </c>
      <c r="O36" s="180">
        <f t="shared" ref="O36:P36" si="23">+O37+O38+O39</f>
        <v>-36318400</v>
      </c>
      <c r="P36" s="181">
        <f t="shared" si="23"/>
        <v>506592694</v>
      </c>
    </row>
    <row r="37" spans="1:16" s="1" customFormat="1" ht="18" customHeight="1" x14ac:dyDescent="0.2">
      <c r="A37" s="182"/>
      <c r="B37" s="365" t="s">
        <v>81</v>
      </c>
      <c r="C37" s="183" t="s">
        <v>1</v>
      </c>
      <c r="D37" s="184" t="s">
        <v>10</v>
      </c>
      <c r="E37" s="185">
        <f t="shared" ref="E37" si="24">+E27+E23+E19+E15</f>
        <v>960000</v>
      </c>
      <c r="F37" s="185">
        <f t="shared" ref="F37:H39" si="25">+F27+F23+F19+F15</f>
        <v>1977000</v>
      </c>
      <c r="G37" s="185">
        <f t="shared" si="25"/>
        <v>654300</v>
      </c>
      <c r="H37" s="185">
        <f t="shared" si="25"/>
        <v>2631300</v>
      </c>
      <c r="I37" s="326"/>
      <c r="J37" s="368" t="s">
        <v>80</v>
      </c>
      <c r="K37" s="183" t="s">
        <v>1</v>
      </c>
      <c r="L37" s="184" t="s">
        <v>10</v>
      </c>
      <c r="M37" s="185">
        <f t="shared" ref="M37" si="26">+M31+M27+M23+M19+M15</f>
        <v>517509505</v>
      </c>
      <c r="N37" s="185">
        <f>+N31+N27+N23+N19+N15</f>
        <v>542911094</v>
      </c>
      <c r="O37" s="185">
        <f t="shared" ref="O37:P37" si="27">+O31+O27+O23+O19+O15</f>
        <v>-36318400</v>
      </c>
      <c r="P37" s="186">
        <f t="shared" si="27"/>
        <v>506592694</v>
      </c>
    </row>
    <row r="38" spans="1:16" s="1" customFormat="1" ht="18" customHeight="1" x14ac:dyDescent="0.2">
      <c r="A38" s="182"/>
      <c r="B38" s="366"/>
      <c r="C38" s="183" t="s">
        <v>2</v>
      </c>
      <c r="D38" s="184" t="s">
        <v>13</v>
      </c>
      <c r="E38" s="185">
        <f t="shared" ref="E38" si="28">+E28+E24+E20+E16</f>
        <v>0</v>
      </c>
      <c r="F38" s="185">
        <f t="shared" si="25"/>
        <v>0</v>
      </c>
      <c r="G38" s="185">
        <f t="shared" si="25"/>
        <v>0</v>
      </c>
      <c r="H38" s="185">
        <f t="shared" si="25"/>
        <v>0</v>
      </c>
      <c r="I38" s="326"/>
      <c r="J38" s="368"/>
      <c r="K38" s="183" t="s">
        <v>2</v>
      </c>
      <c r="L38" s="184" t="s">
        <v>13</v>
      </c>
      <c r="M38" s="185">
        <f t="shared" ref="M38" si="29">+M34+M28+M24+M20+M16</f>
        <v>0</v>
      </c>
      <c r="N38" s="185">
        <f>+N34+N28+N24+N20+N16</f>
        <v>0</v>
      </c>
      <c r="O38" s="185">
        <f t="shared" ref="O38:P39" si="30">+O34+O28+O24+O20+O16</f>
        <v>0</v>
      </c>
      <c r="P38" s="186">
        <f t="shared" si="30"/>
        <v>0</v>
      </c>
    </row>
    <row r="39" spans="1:16" s="1" customFormat="1" ht="18" customHeight="1" x14ac:dyDescent="0.2">
      <c r="A39" s="187"/>
      <c r="B39" s="367"/>
      <c r="C39" s="183" t="s">
        <v>4</v>
      </c>
      <c r="D39" s="184" t="s">
        <v>12</v>
      </c>
      <c r="E39" s="185">
        <f t="shared" ref="E39" si="31">+E29+E25+E21+E17</f>
        <v>0</v>
      </c>
      <c r="F39" s="185">
        <f t="shared" si="25"/>
        <v>100000</v>
      </c>
      <c r="G39" s="185">
        <f t="shared" si="25"/>
        <v>0</v>
      </c>
      <c r="H39" s="185">
        <f t="shared" si="25"/>
        <v>100000</v>
      </c>
      <c r="I39" s="327"/>
      <c r="J39" s="368"/>
      <c r="K39" s="183" t="s">
        <v>4</v>
      </c>
      <c r="L39" s="184" t="s">
        <v>12</v>
      </c>
      <c r="M39" s="188">
        <f t="shared" ref="M39" si="32">+M35+M29+M25+M21+M17</f>
        <v>0</v>
      </c>
      <c r="N39" s="188">
        <f t="shared" ref="N39" si="33">+N35+N29+N25+N21+N17</f>
        <v>0</v>
      </c>
      <c r="O39" s="188">
        <f t="shared" si="30"/>
        <v>0</v>
      </c>
      <c r="P39" s="189">
        <f t="shared" si="30"/>
        <v>0</v>
      </c>
    </row>
    <row r="40" spans="1:16" s="36" customFormat="1" ht="30.75" customHeight="1" thickBot="1" x14ac:dyDescent="0.25">
      <c r="A40" s="351" t="s">
        <v>96</v>
      </c>
      <c r="B40" s="352"/>
      <c r="C40" s="352"/>
      <c r="D40" s="353"/>
      <c r="E40" s="114">
        <f>+M36-E36</f>
        <v>516549505</v>
      </c>
      <c r="F40" s="114">
        <f>+N36-F36</f>
        <v>540834094</v>
      </c>
      <c r="G40" s="114"/>
      <c r="H40" s="114">
        <f>+P36-H36</f>
        <v>503861394</v>
      </c>
      <c r="I40" s="351" t="s">
        <v>97</v>
      </c>
      <c r="J40" s="352"/>
      <c r="K40" s="352"/>
      <c r="L40" s="353"/>
      <c r="M40" s="115"/>
      <c r="N40" s="115"/>
      <c r="O40" s="114">
        <f>G36-O36</f>
        <v>36972700</v>
      </c>
      <c r="P40" s="116"/>
    </row>
    <row r="41" spans="1:16" s="1" customFormat="1" ht="18" customHeight="1" x14ac:dyDescent="0.2">
      <c r="A41" s="340" t="s">
        <v>51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2"/>
    </row>
    <row r="42" spans="1:16" s="1" customFormat="1" ht="18" customHeight="1" x14ac:dyDescent="0.2">
      <c r="A42" s="21" t="s">
        <v>3</v>
      </c>
      <c r="B42" s="343" t="s">
        <v>24</v>
      </c>
      <c r="C42" s="344"/>
      <c r="D42" s="345"/>
      <c r="E42" s="99">
        <f t="shared" ref="E42" si="34">E43+E47+E51</f>
        <v>0</v>
      </c>
      <c r="F42" s="98">
        <f>F43+F47+F51</f>
        <v>0</v>
      </c>
      <c r="G42" s="99">
        <f t="shared" ref="G42:H42" si="35">G43+G47+G51</f>
        <v>0</v>
      </c>
      <c r="H42" s="98">
        <f t="shared" si="35"/>
        <v>0</v>
      </c>
      <c r="I42" s="19" t="s">
        <v>3</v>
      </c>
      <c r="J42" s="346" t="s">
        <v>22</v>
      </c>
      <c r="K42" s="347"/>
      <c r="L42" s="348"/>
      <c r="M42" s="104">
        <f t="shared" ref="M42" si="36">M43+M47+M51</f>
        <v>2286000</v>
      </c>
      <c r="N42" s="103">
        <f>N43+N47+N51</f>
        <v>2286000</v>
      </c>
      <c r="O42" s="104">
        <f t="shared" ref="O42:P42" si="37">O43+O47+O51</f>
        <v>-1500000</v>
      </c>
      <c r="P42" s="105">
        <f t="shared" si="37"/>
        <v>786000</v>
      </c>
    </row>
    <row r="43" spans="1:16" s="1" customFormat="1" ht="30" customHeight="1" x14ac:dyDescent="0.2">
      <c r="A43" s="22"/>
      <c r="B43" s="329" t="s">
        <v>74</v>
      </c>
      <c r="C43" s="332" t="s">
        <v>55</v>
      </c>
      <c r="D43" s="333"/>
      <c r="E43" s="99">
        <f t="shared" ref="E43" si="38">E44+E45+E46</f>
        <v>0</v>
      </c>
      <c r="F43" s="98">
        <f>F44+F45+F46</f>
        <v>0</v>
      </c>
      <c r="G43" s="99">
        <f t="shared" ref="G43:H43" si="39">G44+G45+G46</f>
        <v>0</v>
      </c>
      <c r="H43" s="98">
        <f t="shared" si="39"/>
        <v>0</v>
      </c>
      <c r="I43" s="18"/>
      <c r="J43" s="334" t="s">
        <v>63</v>
      </c>
      <c r="K43" s="349" t="s">
        <v>15</v>
      </c>
      <c r="L43" s="350"/>
      <c r="M43" s="99">
        <f t="shared" ref="M43" si="40">M44+M45+M46</f>
        <v>2286000</v>
      </c>
      <c r="N43" s="98">
        <f>N44+N45+N46</f>
        <v>2286000</v>
      </c>
      <c r="O43" s="99">
        <f t="shared" ref="O43:P43" si="41">O44+O45+O46</f>
        <v>-1500000</v>
      </c>
      <c r="P43" s="106">
        <f t="shared" si="41"/>
        <v>786000</v>
      </c>
    </row>
    <row r="44" spans="1:16" s="1" customFormat="1" ht="18" customHeight="1" x14ac:dyDescent="0.2">
      <c r="A44" s="22"/>
      <c r="B44" s="330"/>
      <c r="C44" s="24" t="s">
        <v>1</v>
      </c>
      <c r="D44" s="25" t="s">
        <v>10</v>
      </c>
      <c r="E44" s="101">
        <v>0</v>
      </c>
      <c r="F44" s="100">
        <v>0</v>
      </c>
      <c r="G44" s="101">
        <v>0</v>
      </c>
      <c r="H44" s="102">
        <f>+G44+F44</f>
        <v>0</v>
      </c>
      <c r="I44" s="18"/>
      <c r="J44" s="335"/>
      <c r="K44" s="24" t="s">
        <v>1</v>
      </c>
      <c r="L44" s="25" t="s">
        <v>10</v>
      </c>
      <c r="M44" s="107">
        <v>2286000</v>
      </c>
      <c r="N44" s="100">
        <v>2286000</v>
      </c>
      <c r="O44" s="107">
        <v>-1500000</v>
      </c>
      <c r="P44" s="102">
        <f>+O44+N44</f>
        <v>786000</v>
      </c>
    </row>
    <row r="45" spans="1:16" s="1" customFormat="1" ht="18" customHeight="1" x14ac:dyDescent="0.2">
      <c r="A45" s="22"/>
      <c r="B45" s="330"/>
      <c r="C45" s="24" t="s">
        <v>2</v>
      </c>
      <c r="D45" s="25" t="s">
        <v>13</v>
      </c>
      <c r="E45" s="101">
        <v>0</v>
      </c>
      <c r="F45" s="100">
        <v>0</v>
      </c>
      <c r="G45" s="101">
        <v>0</v>
      </c>
      <c r="H45" s="102">
        <f>+G45+F45</f>
        <v>0</v>
      </c>
      <c r="I45" s="18"/>
      <c r="J45" s="335"/>
      <c r="K45" s="24" t="s">
        <v>2</v>
      </c>
      <c r="L45" s="25" t="s">
        <v>13</v>
      </c>
      <c r="M45" s="107">
        <v>0</v>
      </c>
      <c r="N45" s="100">
        <v>0</v>
      </c>
      <c r="O45" s="107">
        <v>0</v>
      </c>
      <c r="P45" s="102">
        <f>+O45+N45</f>
        <v>0</v>
      </c>
    </row>
    <row r="46" spans="1:16" s="1" customFormat="1" ht="18" customHeight="1" x14ac:dyDescent="0.2">
      <c r="A46" s="22"/>
      <c r="B46" s="331"/>
      <c r="C46" s="24" t="s">
        <v>4</v>
      </c>
      <c r="D46" s="25" t="s">
        <v>12</v>
      </c>
      <c r="E46" s="101">
        <v>0</v>
      </c>
      <c r="F46" s="100">
        <v>0</v>
      </c>
      <c r="G46" s="101">
        <v>0</v>
      </c>
      <c r="H46" s="102">
        <f>+G46+F46</f>
        <v>0</v>
      </c>
      <c r="I46" s="18"/>
      <c r="J46" s="336"/>
      <c r="K46" s="24" t="s">
        <v>4</v>
      </c>
      <c r="L46" s="25" t="s">
        <v>12</v>
      </c>
      <c r="M46" s="107">
        <v>0</v>
      </c>
      <c r="N46" s="100">
        <v>0</v>
      </c>
      <c r="O46" s="107">
        <v>0</v>
      </c>
      <c r="P46" s="102">
        <f>+O46+N46</f>
        <v>0</v>
      </c>
    </row>
    <row r="47" spans="1:16" s="1" customFormat="1" ht="18" customHeight="1" x14ac:dyDescent="0.2">
      <c r="A47" s="22"/>
      <c r="B47" s="329" t="s">
        <v>77</v>
      </c>
      <c r="C47" s="332" t="s">
        <v>25</v>
      </c>
      <c r="D47" s="333"/>
      <c r="E47" s="99">
        <f t="shared" ref="E47" si="42">E48+E49+E50</f>
        <v>0</v>
      </c>
      <c r="F47" s="98">
        <f>F48+F49+F50</f>
        <v>0</v>
      </c>
      <c r="G47" s="99">
        <f t="shared" ref="G47:H47" si="43">G48+G49+G50</f>
        <v>0</v>
      </c>
      <c r="H47" s="98">
        <f t="shared" si="43"/>
        <v>0</v>
      </c>
      <c r="I47" s="18"/>
      <c r="J47" s="334" t="s">
        <v>64</v>
      </c>
      <c r="K47" s="332" t="s">
        <v>16</v>
      </c>
      <c r="L47" s="333"/>
      <c r="M47" s="99">
        <f t="shared" ref="M47" si="44">M48+M49+M50</f>
        <v>0</v>
      </c>
      <c r="N47" s="98">
        <f>N48+N49+N50</f>
        <v>0</v>
      </c>
      <c r="O47" s="99">
        <f t="shared" ref="O47:P47" si="45">O48+O49+O50</f>
        <v>0</v>
      </c>
      <c r="P47" s="106">
        <f t="shared" si="45"/>
        <v>0</v>
      </c>
    </row>
    <row r="48" spans="1:16" s="1" customFormat="1" ht="18" customHeight="1" x14ac:dyDescent="0.2">
      <c r="A48" s="22"/>
      <c r="B48" s="330"/>
      <c r="C48" s="24" t="s">
        <v>1</v>
      </c>
      <c r="D48" s="25" t="s">
        <v>10</v>
      </c>
      <c r="E48" s="101">
        <v>0</v>
      </c>
      <c r="F48" s="100">
        <v>0</v>
      </c>
      <c r="G48" s="101">
        <v>0</v>
      </c>
      <c r="H48" s="102">
        <f>+G48+F48</f>
        <v>0</v>
      </c>
      <c r="I48" s="18"/>
      <c r="J48" s="335"/>
      <c r="K48" s="24" t="s">
        <v>1</v>
      </c>
      <c r="L48" s="25" t="s">
        <v>10</v>
      </c>
      <c r="M48" s="107">
        <v>0</v>
      </c>
      <c r="N48" s="100">
        <v>0</v>
      </c>
      <c r="O48" s="107">
        <v>0</v>
      </c>
      <c r="P48" s="102">
        <f>+O48+N48</f>
        <v>0</v>
      </c>
    </row>
    <row r="49" spans="1:16" s="1" customFormat="1" ht="18" customHeight="1" x14ac:dyDescent="0.2">
      <c r="A49" s="22"/>
      <c r="B49" s="330"/>
      <c r="C49" s="24" t="s">
        <v>2</v>
      </c>
      <c r="D49" s="25" t="s">
        <v>13</v>
      </c>
      <c r="E49" s="101">
        <v>0</v>
      </c>
      <c r="F49" s="100">
        <v>0</v>
      </c>
      <c r="G49" s="101">
        <v>0</v>
      </c>
      <c r="H49" s="102">
        <f>+G49+F49</f>
        <v>0</v>
      </c>
      <c r="I49" s="18"/>
      <c r="J49" s="335"/>
      <c r="K49" s="24" t="s">
        <v>2</v>
      </c>
      <c r="L49" s="25" t="s">
        <v>13</v>
      </c>
      <c r="M49" s="107">
        <v>0</v>
      </c>
      <c r="N49" s="100">
        <v>0</v>
      </c>
      <c r="O49" s="107">
        <v>0</v>
      </c>
      <c r="P49" s="102">
        <f>+O49+N49</f>
        <v>0</v>
      </c>
    </row>
    <row r="50" spans="1:16" s="1" customFormat="1" ht="18" customHeight="1" x14ac:dyDescent="0.2">
      <c r="A50" s="22"/>
      <c r="B50" s="331"/>
      <c r="C50" s="24" t="s">
        <v>4</v>
      </c>
      <c r="D50" s="25" t="s">
        <v>12</v>
      </c>
      <c r="E50" s="101">
        <v>0</v>
      </c>
      <c r="F50" s="100">
        <v>0</v>
      </c>
      <c r="G50" s="101">
        <v>0</v>
      </c>
      <c r="H50" s="102">
        <f>+G50+F50</f>
        <v>0</v>
      </c>
      <c r="I50" s="18"/>
      <c r="J50" s="336"/>
      <c r="K50" s="24" t="s">
        <v>4</v>
      </c>
      <c r="L50" s="25" t="s">
        <v>12</v>
      </c>
      <c r="M50" s="107">
        <v>0</v>
      </c>
      <c r="N50" s="100">
        <v>0</v>
      </c>
      <c r="O50" s="107">
        <v>0</v>
      </c>
      <c r="P50" s="102">
        <f>+O50+N50</f>
        <v>0</v>
      </c>
    </row>
    <row r="51" spans="1:16" s="1" customFormat="1" ht="18" customHeight="1" x14ac:dyDescent="0.2">
      <c r="A51" s="22"/>
      <c r="B51" s="329" t="s">
        <v>79</v>
      </c>
      <c r="C51" s="337" t="s">
        <v>54</v>
      </c>
      <c r="D51" s="338"/>
      <c r="E51" s="99">
        <f t="shared" ref="E51" si="46">E52+E53+E54</f>
        <v>0</v>
      </c>
      <c r="F51" s="98">
        <f>F52+F53+F54</f>
        <v>0</v>
      </c>
      <c r="G51" s="99">
        <f t="shared" ref="G51:H51" si="47">G52+G53+G54</f>
        <v>0</v>
      </c>
      <c r="H51" s="98">
        <f t="shared" si="47"/>
        <v>0</v>
      </c>
      <c r="I51" s="18"/>
      <c r="J51" s="334" t="s">
        <v>65</v>
      </c>
      <c r="K51" s="339" t="s">
        <v>66</v>
      </c>
      <c r="L51" s="339"/>
      <c r="M51" s="99">
        <f t="shared" ref="M51" si="48">M52+M53+M54</f>
        <v>0</v>
      </c>
      <c r="N51" s="98">
        <f>N52+N53+N54</f>
        <v>0</v>
      </c>
      <c r="O51" s="99">
        <f t="shared" ref="O51:P51" si="49">O52+O53+O54</f>
        <v>0</v>
      </c>
      <c r="P51" s="106">
        <f t="shared" si="49"/>
        <v>0</v>
      </c>
    </row>
    <row r="52" spans="1:16" s="1" customFormat="1" ht="18" customHeight="1" x14ac:dyDescent="0.2">
      <c r="A52" s="22"/>
      <c r="B52" s="330"/>
      <c r="C52" s="24" t="s">
        <v>1</v>
      </c>
      <c r="D52" s="25" t="s">
        <v>10</v>
      </c>
      <c r="E52" s="101">
        <v>0</v>
      </c>
      <c r="F52" s="100">
        <v>0</v>
      </c>
      <c r="G52" s="101">
        <v>0</v>
      </c>
      <c r="H52" s="102">
        <f>+G52+F52</f>
        <v>0</v>
      </c>
      <c r="I52" s="18"/>
      <c r="J52" s="335"/>
      <c r="K52" s="24" t="s">
        <v>1</v>
      </c>
      <c r="L52" s="25" t="s">
        <v>10</v>
      </c>
      <c r="M52" s="107">
        <v>0</v>
      </c>
      <c r="N52" s="100">
        <v>0</v>
      </c>
      <c r="O52" s="107">
        <v>0</v>
      </c>
      <c r="P52" s="102">
        <f>+O52+N52</f>
        <v>0</v>
      </c>
    </row>
    <row r="53" spans="1:16" s="1" customFormat="1" ht="18" customHeight="1" x14ac:dyDescent="0.2">
      <c r="A53" s="22"/>
      <c r="B53" s="330"/>
      <c r="C53" s="24" t="s">
        <v>2</v>
      </c>
      <c r="D53" s="25" t="s">
        <v>13</v>
      </c>
      <c r="E53" s="101">
        <v>0</v>
      </c>
      <c r="F53" s="100">
        <v>0</v>
      </c>
      <c r="G53" s="101">
        <v>0</v>
      </c>
      <c r="H53" s="102">
        <f>+G53+F53</f>
        <v>0</v>
      </c>
      <c r="I53" s="18"/>
      <c r="J53" s="335"/>
      <c r="K53" s="24" t="s">
        <v>2</v>
      </c>
      <c r="L53" s="25" t="s">
        <v>13</v>
      </c>
      <c r="M53" s="107">
        <v>0</v>
      </c>
      <c r="N53" s="100">
        <v>0</v>
      </c>
      <c r="O53" s="107">
        <v>0</v>
      </c>
      <c r="P53" s="102">
        <f>+O53+N53</f>
        <v>0</v>
      </c>
    </row>
    <row r="54" spans="1:16" s="1" customFormat="1" ht="18" customHeight="1" x14ac:dyDescent="0.2">
      <c r="A54" s="23"/>
      <c r="B54" s="331"/>
      <c r="C54" s="24" t="s">
        <v>4</v>
      </c>
      <c r="D54" s="25" t="s">
        <v>12</v>
      </c>
      <c r="E54" s="101">
        <v>0</v>
      </c>
      <c r="F54" s="100">
        <v>0</v>
      </c>
      <c r="G54" s="101">
        <v>0</v>
      </c>
      <c r="H54" s="102">
        <f>+G54+F54</f>
        <v>0</v>
      </c>
      <c r="I54" s="17"/>
      <c r="J54" s="336"/>
      <c r="K54" s="24" t="s">
        <v>4</v>
      </c>
      <c r="L54" s="25" t="s">
        <v>12</v>
      </c>
      <c r="M54" s="107">
        <v>0</v>
      </c>
      <c r="N54" s="100">
        <v>0</v>
      </c>
      <c r="O54" s="107">
        <v>0</v>
      </c>
      <c r="P54" s="102">
        <f>+O54+N54</f>
        <v>0</v>
      </c>
    </row>
    <row r="55" spans="1:16" s="1" customFormat="1" ht="30" customHeight="1" x14ac:dyDescent="0.2">
      <c r="A55" s="190" t="s">
        <v>3</v>
      </c>
      <c r="B55" s="305" t="s">
        <v>26</v>
      </c>
      <c r="C55" s="306"/>
      <c r="D55" s="307"/>
      <c r="E55" s="180">
        <f t="shared" ref="E55" si="50">E56+E57+E58</f>
        <v>0</v>
      </c>
      <c r="F55" s="180">
        <f>F56+F57+F58</f>
        <v>0</v>
      </c>
      <c r="G55" s="180">
        <f t="shared" ref="G55:H55" si="51">G56+G57+G58</f>
        <v>0</v>
      </c>
      <c r="H55" s="180">
        <f t="shared" si="51"/>
        <v>0</v>
      </c>
      <c r="I55" s="191" t="s">
        <v>3</v>
      </c>
      <c r="J55" s="305" t="s">
        <v>19</v>
      </c>
      <c r="K55" s="306"/>
      <c r="L55" s="307"/>
      <c r="M55" s="180">
        <f t="shared" ref="M55" si="52">M56+M57+M58</f>
        <v>2286000</v>
      </c>
      <c r="N55" s="180">
        <f>N56+N57+N58</f>
        <v>2286000</v>
      </c>
      <c r="O55" s="180">
        <f t="shared" ref="O55:P55" si="53">O56+O57+O58</f>
        <v>-1500000</v>
      </c>
      <c r="P55" s="181">
        <f t="shared" si="53"/>
        <v>786000</v>
      </c>
    </row>
    <row r="56" spans="1:16" s="1" customFormat="1" ht="18" customHeight="1" x14ac:dyDescent="0.2">
      <c r="A56" s="182"/>
      <c r="B56" s="314" t="s">
        <v>82</v>
      </c>
      <c r="C56" s="183" t="s">
        <v>1</v>
      </c>
      <c r="D56" s="184" t="s">
        <v>10</v>
      </c>
      <c r="E56" s="185">
        <f t="shared" ref="E56" si="54">E44+E48+E52</f>
        <v>0</v>
      </c>
      <c r="F56" s="207">
        <f t="shared" ref="F56:F58" si="55">F44+F48+F52</f>
        <v>0</v>
      </c>
      <c r="G56" s="185">
        <f t="shared" ref="G56:H58" si="56">G44+G48+G52</f>
        <v>0</v>
      </c>
      <c r="H56" s="185">
        <f t="shared" si="56"/>
        <v>0</v>
      </c>
      <c r="I56" s="192"/>
      <c r="J56" s="316" t="s">
        <v>67</v>
      </c>
      <c r="K56" s="183" t="s">
        <v>1</v>
      </c>
      <c r="L56" s="184" t="s">
        <v>10</v>
      </c>
      <c r="M56" s="185">
        <f t="shared" ref="M56" si="57">M44+M48+M52</f>
        <v>2286000</v>
      </c>
      <c r="N56" s="185">
        <f t="shared" ref="N56:P58" si="58">N44+N48+N52</f>
        <v>2286000</v>
      </c>
      <c r="O56" s="185">
        <f t="shared" si="58"/>
        <v>-1500000</v>
      </c>
      <c r="P56" s="186">
        <f t="shared" si="58"/>
        <v>786000</v>
      </c>
    </row>
    <row r="57" spans="1:16" s="1" customFormat="1" ht="18" customHeight="1" x14ac:dyDescent="0.2">
      <c r="A57" s="182"/>
      <c r="B57" s="315"/>
      <c r="C57" s="183" t="s">
        <v>2</v>
      </c>
      <c r="D57" s="184" t="s">
        <v>13</v>
      </c>
      <c r="E57" s="185">
        <f t="shared" ref="E57" si="59">E45+E49+E53</f>
        <v>0</v>
      </c>
      <c r="F57" s="207">
        <f t="shared" si="55"/>
        <v>0</v>
      </c>
      <c r="G57" s="185">
        <f t="shared" si="56"/>
        <v>0</v>
      </c>
      <c r="H57" s="185">
        <f t="shared" si="56"/>
        <v>0</v>
      </c>
      <c r="I57" s="192"/>
      <c r="J57" s="316"/>
      <c r="K57" s="183" t="s">
        <v>2</v>
      </c>
      <c r="L57" s="184" t="s">
        <v>13</v>
      </c>
      <c r="M57" s="185">
        <f t="shared" ref="M57" si="60">M45+M49+M53</f>
        <v>0</v>
      </c>
      <c r="N57" s="185">
        <f t="shared" si="58"/>
        <v>0</v>
      </c>
      <c r="O57" s="185">
        <f t="shared" si="58"/>
        <v>0</v>
      </c>
      <c r="P57" s="186">
        <f t="shared" si="58"/>
        <v>0</v>
      </c>
    </row>
    <row r="58" spans="1:16" s="1" customFormat="1" ht="18" customHeight="1" x14ac:dyDescent="0.2">
      <c r="A58" s="182"/>
      <c r="B58" s="315"/>
      <c r="C58" s="193" t="s">
        <v>4</v>
      </c>
      <c r="D58" s="194" t="s">
        <v>12</v>
      </c>
      <c r="E58" s="185">
        <f t="shared" ref="E58" si="61">E46+E50+E54</f>
        <v>0</v>
      </c>
      <c r="F58" s="185">
        <f t="shared" si="55"/>
        <v>0</v>
      </c>
      <c r="G58" s="185">
        <f t="shared" si="56"/>
        <v>0</v>
      </c>
      <c r="H58" s="185">
        <f t="shared" si="56"/>
        <v>0</v>
      </c>
      <c r="I58" s="192"/>
      <c r="J58" s="317"/>
      <c r="K58" s="193" t="s">
        <v>4</v>
      </c>
      <c r="L58" s="194" t="s">
        <v>12</v>
      </c>
      <c r="M58" s="188">
        <f t="shared" ref="M58" si="62">M46+M50+M54</f>
        <v>0</v>
      </c>
      <c r="N58" s="188">
        <f t="shared" si="58"/>
        <v>0</v>
      </c>
      <c r="O58" s="188">
        <f t="shared" si="58"/>
        <v>0</v>
      </c>
      <c r="P58" s="189">
        <f t="shared" si="58"/>
        <v>0</v>
      </c>
    </row>
    <row r="59" spans="1:16" s="35" customFormat="1" ht="31.5" customHeight="1" thickBot="1" x14ac:dyDescent="0.25">
      <c r="A59" s="383" t="s">
        <v>98</v>
      </c>
      <c r="B59" s="384"/>
      <c r="C59" s="384"/>
      <c r="D59" s="384"/>
      <c r="E59" s="117">
        <f>+M55-E55</f>
        <v>2286000</v>
      </c>
      <c r="F59" s="117">
        <f>+N55-F55</f>
        <v>2286000</v>
      </c>
      <c r="G59" s="117"/>
      <c r="H59" s="117">
        <f>+P55-H55</f>
        <v>786000</v>
      </c>
      <c r="I59" s="383" t="s">
        <v>99</v>
      </c>
      <c r="J59" s="384"/>
      <c r="K59" s="384"/>
      <c r="L59" s="384"/>
      <c r="M59" s="119"/>
      <c r="N59" s="118"/>
      <c r="O59" s="125">
        <f>G55-O55</f>
        <v>1500000</v>
      </c>
      <c r="P59" s="120"/>
    </row>
    <row r="60" spans="1:16" s="1" customFormat="1" ht="18" customHeight="1" x14ac:dyDescent="0.2">
      <c r="A60" s="196" t="s">
        <v>40</v>
      </c>
      <c r="B60" s="385" t="s">
        <v>41</v>
      </c>
      <c r="C60" s="386"/>
      <c r="D60" s="387"/>
      <c r="E60" s="197">
        <f t="shared" ref="E60" si="63">E61+E62+E63</f>
        <v>960000</v>
      </c>
      <c r="F60" s="197">
        <f>F61+F62+F63</f>
        <v>2077000</v>
      </c>
      <c r="G60" s="197">
        <f t="shared" ref="G60:H60" si="64">G61+G62+G63</f>
        <v>654300</v>
      </c>
      <c r="H60" s="197">
        <f t="shared" si="64"/>
        <v>2731300</v>
      </c>
      <c r="I60" s="196" t="s">
        <v>40</v>
      </c>
      <c r="J60" s="323" t="s">
        <v>43</v>
      </c>
      <c r="K60" s="324"/>
      <c r="L60" s="324"/>
      <c r="M60" s="197">
        <f t="shared" ref="M60" si="65">M61+M62+M63</f>
        <v>519795505</v>
      </c>
      <c r="N60" s="197">
        <f>N61+N62+N63</f>
        <v>545197094</v>
      </c>
      <c r="O60" s="197">
        <f t="shared" ref="O60:P60" si="66">O61+O62+O63</f>
        <v>-37818400</v>
      </c>
      <c r="P60" s="198">
        <f t="shared" si="66"/>
        <v>507378694</v>
      </c>
    </row>
    <row r="61" spans="1:16" s="1" customFormat="1" ht="18" customHeight="1" x14ac:dyDescent="0.2">
      <c r="A61" s="182"/>
      <c r="B61" s="295" t="s">
        <v>84</v>
      </c>
      <c r="C61" s="183" t="s">
        <v>1</v>
      </c>
      <c r="D61" s="184" t="s">
        <v>10</v>
      </c>
      <c r="E61" s="188">
        <f t="shared" ref="E61" si="67">E37+E56</f>
        <v>960000</v>
      </c>
      <c r="F61" s="188">
        <f t="shared" ref="F61:H63" si="68">F37+F56</f>
        <v>1977000</v>
      </c>
      <c r="G61" s="188">
        <f t="shared" si="68"/>
        <v>654300</v>
      </c>
      <c r="H61" s="188">
        <f t="shared" si="68"/>
        <v>2631300</v>
      </c>
      <c r="I61" s="326"/>
      <c r="J61" s="328" t="s">
        <v>83</v>
      </c>
      <c r="K61" s="183" t="s">
        <v>1</v>
      </c>
      <c r="L61" s="184" t="s">
        <v>10</v>
      </c>
      <c r="M61" s="188">
        <f t="shared" ref="M61" si="69">M37+M56</f>
        <v>519795505</v>
      </c>
      <c r="N61" s="188">
        <f t="shared" ref="N61:P63" si="70">N37+N56</f>
        <v>545197094</v>
      </c>
      <c r="O61" s="188">
        <f t="shared" si="70"/>
        <v>-37818400</v>
      </c>
      <c r="P61" s="189">
        <f t="shared" si="70"/>
        <v>507378694</v>
      </c>
    </row>
    <row r="62" spans="1:16" s="1" customFormat="1" ht="18" customHeight="1" x14ac:dyDescent="0.2">
      <c r="A62" s="182"/>
      <c r="B62" s="296"/>
      <c r="C62" s="183" t="s">
        <v>2</v>
      </c>
      <c r="D62" s="184" t="s">
        <v>13</v>
      </c>
      <c r="E62" s="188">
        <f t="shared" ref="E62" si="71">E38+E57</f>
        <v>0</v>
      </c>
      <c r="F62" s="188">
        <f>F38+F57</f>
        <v>0</v>
      </c>
      <c r="G62" s="188">
        <f t="shared" si="68"/>
        <v>0</v>
      </c>
      <c r="H62" s="188">
        <f t="shared" si="68"/>
        <v>0</v>
      </c>
      <c r="I62" s="326"/>
      <c r="J62" s="328"/>
      <c r="K62" s="183" t="s">
        <v>2</v>
      </c>
      <c r="L62" s="184" t="s">
        <v>13</v>
      </c>
      <c r="M62" s="188">
        <f t="shared" ref="M62" si="72">M38+M57</f>
        <v>0</v>
      </c>
      <c r="N62" s="188">
        <f t="shared" si="70"/>
        <v>0</v>
      </c>
      <c r="O62" s="188">
        <f t="shared" si="70"/>
        <v>0</v>
      </c>
      <c r="P62" s="189">
        <f t="shared" si="70"/>
        <v>0</v>
      </c>
    </row>
    <row r="63" spans="1:16" s="1" customFormat="1" ht="18" customHeight="1" x14ac:dyDescent="0.2">
      <c r="A63" s="187"/>
      <c r="B63" s="325"/>
      <c r="C63" s="183" t="s">
        <v>4</v>
      </c>
      <c r="D63" s="184" t="s">
        <v>12</v>
      </c>
      <c r="E63" s="185">
        <f t="shared" ref="E63" si="73">E39+E58</f>
        <v>0</v>
      </c>
      <c r="F63" s="185">
        <f>F39+F58</f>
        <v>100000</v>
      </c>
      <c r="G63" s="185">
        <f t="shared" si="68"/>
        <v>0</v>
      </c>
      <c r="H63" s="185">
        <f t="shared" si="68"/>
        <v>100000</v>
      </c>
      <c r="I63" s="327"/>
      <c r="J63" s="328"/>
      <c r="K63" s="183" t="s">
        <v>4</v>
      </c>
      <c r="L63" s="184" t="s">
        <v>12</v>
      </c>
      <c r="M63" s="185">
        <f t="shared" ref="M63" si="74">M39+M58</f>
        <v>0</v>
      </c>
      <c r="N63" s="185">
        <f t="shared" si="70"/>
        <v>0</v>
      </c>
      <c r="O63" s="185">
        <f t="shared" si="70"/>
        <v>0</v>
      </c>
      <c r="P63" s="186">
        <f t="shared" si="70"/>
        <v>0</v>
      </c>
    </row>
    <row r="64" spans="1:16" s="11" customFormat="1" ht="30" customHeight="1" thickBot="1" x14ac:dyDescent="0.25">
      <c r="A64" s="311" t="s">
        <v>71</v>
      </c>
      <c r="B64" s="312"/>
      <c r="C64" s="312"/>
      <c r="D64" s="313"/>
      <c r="E64" s="117">
        <f>M60-E60</f>
        <v>518835505</v>
      </c>
      <c r="F64" s="117">
        <f>+N60-F60</f>
        <v>543120094</v>
      </c>
      <c r="G64" s="117"/>
      <c r="H64" s="117">
        <f>+P60-H60</f>
        <v>504647394</v>
      </c>
      <c r="I64" s="311" t="s">
        <v>72</v>
      </c>
      <c r="J64" s="312"/>
      <c r="K64" s="312"/>
      <c r="L64" s="313"/>
      <c r="M64" s="121"/>
      <c r="N64" s="121"/>
      <c r="O64" s="130">
        <f>G60-O60</f>
        <v>38472700</v>
      </c>
      <c r="P64" s="122"/>
    </row>
    <row r="65" spans="1:16" s="1" customFormat="1" ht="18" customHeight="1" x14ac:dyDescent="0.2">
      <c r="A65" s="34" t="s">
        <v>44</v>
      </c>
      <c r="B65" s="299" t="s">
        <v>42</v>
      </c>
      <c r="C65" s="300"/>
      <c r="D65" s="301"/>
      <c r="E65" s="111">
        <f t="shared" ref="E65" si="75">E66+E67</f>
        <v>518835505</v>
      </c>
      <c r="F65" s="111">
        <f>F66+F67</f>
        <v>543120094</v>
      </c>
      <c r="G65" s="111">
        <f t="shared" ref="G65:H65" si="76">G66+G67</f>
        <v>-38472700</v>
      </c>
      <c r="H65" s="111">
        <f t="shared" si="76"/>
        <v>504647394</v>
      </c>
      <c r="I65" s="44" t="s">
        <v>44</v>
      </c>
      <c r="J65" s="302" t="s">
        <v>56</v>
      </c>
      <c r="K65" s="303"/>
      <c r="L65" s="304"/>
      <c r="M65" s="112">
        <f t="shared" ref="M65" si="77">M66+M67</f>
        <v>0</v>
      </c>
      <c r="N65" s="112">
        <f>N66+N67</f>
        <v>0</v>
      </c>
      <c r="O65" s="112">
        <f t="shared" ref="O65:P65" si="78">O66+O67</f>
        <v>0</v>
      </c>
      <c r="P65" s="113">
        <f t="shared" si="78"/>
        <v>0</v>
      </c>
    </row>
    <row r="66" spans="1:16" s="1" customFormat="1" ht="18" customHeight="1" x14ac:dyDescent="0.2">
      <c r="A66" s="27"/>
      <c r="B66" s="308" t="s">
        <v>73</v>
      </c>
      <c r="C66" s="24" t="s">
        <v>1</v>
      </c>
      <c r="D66" s="25" t="s">
        <v>85</v>
      </c>
      <c r="E66" s="101">
        <v>0</v>
      </c>
      <c r="F66" s="100">
        <v>24284589</v>
      </c>
      <c r="G66" s="101">
        <v>0</v>
      </c>
      <c r="H66" s="102">
        <f>+G66+F66</f>
        <v>24284589</v>
      </c>
      <c r="I66" s="27"/>
      <c r="J66" s="308" t="s">
        <v>68</v>
      </c>
      <c r="K66" s="24" t="s">
        <v>1</v>
      </c>
      <c r="L66" s="25"/>
      <c r="M66" s="47"/>
      <c r="N66" s="100"/>
      <c r="O66" s="47"/>
      <c r="P66" s="102"/>
    </row>
    <row r="67" spans="1:16" s="1" customFormat="1" ht="18" customHeight="1" x14ac:dyDescent="0.2">
      <c r="A67" s="27"/>
      <c r="B67" s="309"/>
      <c r="C67" s="24" t="s">
        <v>2</v>
      </c>
      <c r="D67" s="25" t="s">
        <v>88</v>
      </c>
      <c r="E67" s="101">
        <v>518835505</v>
      </c>
      <c r="F67" s="100">
        <v>518835505</v>
      </c>
      <c r="G67" s="101">
        <f>11677300-11650000-38500000</f>
        <v>-38472700</v>
      </c>
      <c r="H67" s="102">
        <f>+G67+F67</f>
        <v>480362805</v>
      </c>
      <c r="I67" s="27"/>
      <c r="J67" s="309"/>
      <c r="K67" s="24" t="s">
        <v>2</v>
      </c>
      <c r="L67" s="25"/>
      <c r="M67" s="47"/>
      <c r="N67" s="100"/>
      <c r="O67" s="47"/>
      <c r="P67" s="102"/>
    </row>
    <row r="68" spans="1:16" s="7" customFormat="1" ht="30" customHeight="1" x14ac:dyDescent="0.2">
      <c r="A68" s="190" t="s">
        <v>45</v>
      </c>
      <c r="B68" s="305" t="s">
        <v>147</v>
      </c>
      <c r="C68" s="306"/>
      <c r="D68" s="307"/>
      <c r="E68" s="180">
        <f t="shared" ref="E68" si="79">E69+E70+E71</f>
        <v>519795505</v>
      </c>
      <c r="F68" s="180">
        <f>F69+F70+F71</f>
        <v>545197094</v>
      </c>
      <c r="G68" s="180">
        <f t="shared" ref="G68:H68" si="80">G69+G70+G71</f>
        <v>-37818400</v>
      </c>
      <c r="H68" s="180">
        <f t="shared" si="80"/>
        <v>507378694</v>
      </c>
      <c r="I68" s="191" t="s">
        <v>45</v>
      </c>
      <c r="J68" s="305" t="s">
        <v>148</v>
      </c>
      <c r="K68" s="306"/>
      <c r="L68" s="307"/>
      <c r="M68" s="180">
        <f t="shared" ref="M68" si="81">M69+M70+M71</f>
        <v>519795505</v>
      </c>
      <c r="N68" s="180">
        <f>N69+N70+N71</f>
        <v>545197094</v>
      </c>
      <c r="O68" s="180">
        <f t="shared" ref="O68:P68" si="82">O69+O70+O71</f>
        <v>-37818400</v>
      </c>
      <c r="P68" s="181">
        <f t="shared" si="82"/>
        <v>507378694</v>
      </c>
    </row>
    <row r="69" spans="1:16" s="7" customFormat="1" ht="18" customHeight="1" x14ac:dyDescent="0.2">
      <c r="A69" s="199"/>
      <c r="B69" s="295" t="s">
        <v>70</v>
      </c>
      <c r="C69" s="183" t="s">
        <v>1</v>
      </c>
      <c r="D69" s="184" t="s">
        <v>10</v>
      </c>
      <c r="E69" s="185">
        <f t="shared" ref="E69" si="83">E61+E66+E67</f>
        <v>519795505</v>
      </c>
      <c r="F69" s="185">
        <f>F61+F66+F67</f>
        <v>545097094</v>
      </c>
      <c r="G69" s="185">
        <f t="shared" ref="G69:H69" si="84">G61+G66+G67</f>
        <v>-37818400</v>
      </c>
      <c r="H69" s="185">
        <f t="shared" si="84"/>
        <v>507278694</v>
      </c>
      <c r="I69" s="200"/>
      <c r="J69" s="295" t="s">
        <v>69</v>
      </c>
      <c r="K69" s="183" t="s">
        <v>1</v>
      </c>
      <c r="L69" s="184" t="s">
        <v>10</v>
      </c>
      <c r="M69" s="185">
        <f t="shared" ref="M69" si="85">M61+M66+M67</f>
        <v>519795505</v>
      </c>
      <c r="N69" s="185">
        <f>N61+N66+N67</f>
        <v>545197094</v>
      </c>
      <c r="O69" s="185">
        <f t="shared" ref="O69:P69" si="86">O61+O66+O67</f>
        <v>-37818400</v>
      </c>
      <c r="P69" s="186">
        <f t="shared" si="86"/>
        <v>507378694</v>
      </c>
    </row>
    <row r="70" spans="1:16" s="7" customFormat="1" ht="18" customHeight="1" x14ac:dyDescent="0.2">
      <c r="A70" s="199"/>
      <c r="B70" s="296"/>
      <c r="C70" s="183" t="s">
        <v>2</v>
      </c>
      <c r="D70" s="184" t="s">
        <v>13</v>
      </c>
      <c r="E70" s="185">
        <f t="shared" ref="E70" si="87">E62</f>
        <v>0</v>
      </c>
      <c r="F70" s="185">
        <f>F62</f>
        <v>0</v>
      </c>
      <c r="G70" s="185">
        <f t="shared" ref="G70:H71" si="88">G62</f>
        <v>0</v>
      </c>
      <c r="H70" s="185">
        <f t="shared" si="88"/>
        <v>0</v>
      </c>
      <c r="I70" s="200"/>
      <c r="J70" s="296"/>
      <c r="K70" s="183" t="s">
        <v>2</v>
      </c>
      <c r="L70" s="184" t="s">
        <v>13</v>
      </c>
      <c r="M70" s="185">
        <f t="shared" ref="M70" si="89">M62</f>
        <v>0</v>
      </c>
      <c r="N70" s="185">
        <f t="shared" ref="N70:P71" si="90">N62</f>
        <v>0</v>
      </c>
      <c r="O70" s="185">
        <f t="shared" si="90"/>
        <v>0</v>
      </c>
      <c r="P70" s="186">
        <f t="shared" si="90"/>
        <v>0</v>
      </c>
    </row>
    <row r="71" spans="1:16" s="7" customFormat="1" ht="18" customHeight="1" thickBot="1" x14ac:dyDescent="0.25">
      <c r="A71" s="201"/>
      <c r="B71" s="297"/>
      <c r="C71" s="202" t="s">
        <v>4</v>
      </c>
      <c r="D71" s="203" t="s">
        <v>12</v>
      </c>
      <c r="E71" s="204">
        <f t="shared" ref="E71" si="91">E63</f>
        <v>0</v>
      </c>
      <c r="F71" s="204">
        <f>F63</f>
        <v>100000</v>
      </c>
      <c r="G71" s="204">
        <f t="shared" si="88"/>
        <v>0</v>
      </c>
      <c r="H71" s="204">
        <f t="shared" si="88"/>
        <v>100000</v>
      </c>
      <c r="I71" s="205"/>
      <c r="J71" s="297"/>
      <c r="K71" s="202" t="s">
        <v>4</v>
      </c>
      <c r="L71" s="203" t="s">
        <v>12</v>
      </c>
      <c r="M71" s="204">
        <f t="shared" ref="M71" si="92">M63</f>
        <v>0</v>
      </c>
      <c r="N71" s="204">
        <f t="shared" si="90"/>
        <v>0</v>
      </c>
      <c r="O71" s="204">
        <f t="shared" si="90"/>
        <v>0</v>
      </c>
      <c r="P71" s="206">
        <f t="shared" si="90"/>
        <v>0</v>
      </c>
    </row>
    <row r="74" spans="1:16" x14ac:dyDescent="0.2">
      <c r="A74" s="298"/>
      <c r="B74" s="298"/>
      <c r="C74" s="298"/>
      <c r="D74" s="298"/>
      <c r="E74" s="298"/>
      <c r="F74" s="298"/>
      <c r="G74" s="20"/>
      <c r="H74" s="20"/>
    </row>
  </sheetData>
  <sheetProtection formatCells="0"/>
  <mergeCells count="78">
    <mergeCell ref="A7:P7"/>
    <mergeCell ref="L1:P1"/>
    <mergeCell ref="L2:P2"/>
    <mergeCell ref="A4:P4"/>
    <mergeCell ref="A5:P5"/>
    <mergeCell ref="A6:P6"/>
    <mergeCell ref="A8:P8"/>
    <mergeCell ref="D9:L9"/>
    <mergeCell ref="A10:F10"/>
    <mergeCell ref="I10:P10"/>
    <mergeCell ref="C11:D11"/>
    <mergeCell ref="K11:L11"/>
    <mergeCell ref="A12:P12"/>
    <mergeCell ref="B13:D13"/>
    <mergeCell ref="J13:L13"/>
    <mergeCell ref="B14:B17"/>
    <mergeCell ref="C14:D14"/>
    <mergeCell ref="J14:J17"/>
    <mergeCell ref="K14:L14"/>
    <mergeCell ref="B18:B21"/>
    <mergeCell ref="C18:D18"/>
    <mergeCell ref="J18:J21"/>
    <mergeCell ref="K18:L18"/>
    <mergeCell ref="B22:B25"/>
    <mergeCell ref="C22:D22"/>
    <mergeCell ref="J22:J25"/>
    <mergeCell ref="K22:L22"/>
    <mergeCell ref="A40:D40"/>
    <mergeCell ref="I40:L40"/>
    <mergeCell ref="B26:B29"/>
    <mergeCell ref="C26:D26"/>
    <mergeCell ref="J26:J29"/>
    <mergeCell ref="K26:L26"/>
    <mergeCell ref="A30:H35"/>
    <mergeCell ref="J30:J35"/>
    <mergeCell ref="K30:L30"/>
    <mergeCell ref="B36:D36"/>
    <mergeCell ref="J36:L36"/>
    <mergeCell ref="B37:B39"/>
    <mergeCell ref="I37:I39"/>
    <mergeCell ref="J37:J39"/>
    <mergeCell ref="A41:P41"/>
    <mergeCell ref="B42:D42"/>
    <mergeCell ref="J42:L42"/>
    <mergeCell ref="B43:B46"/>
    <mergeCell ref="C43:D43"/>
    <mergeCell ref="J43:J46"/>
    <mergeCell ref="K43:L43"/>
    <mergeCell ref="B47:B50"/>
    <mergeCell ref="C47:D47"/>
    <mergeCell ref="J47:J50"/>
    <mergeCell ref="K47:L47"/>
    <mergeCell ref="B51:B54"/>
    <mergeCell ref="C51:D51"/>
    <mergeCell ref="J51:J54"/>
    <mergeCell ref="K51:L51"/>
    <mergeCell ref="A64:D64"/>
    <mergeCell ref="I64:L64"/>
    <mergeCell ref="B55:D55"/>
    <mergeCell ref="J55:L55"/>
    <mergeCell ref="B56:B58"/>
    <mergeCell ref="J56:J58"/>
    <mergeCell ref="A59:D59"/>
    <mergeCell ref="I59:L59"/>
    <mergeCell ref="B60:D60"/>
    <mergeCell ref="J60:L60"/>
    <mergeCell ref="B61:B63"/>
    <mergeCell ref="I61:I63"/>
    <mergeCell ref="J61:J63"/>
    <mergeCell ref="B69:B71"/>
    <mergeCell ref="J69:J71"/>
    <mergeCell ref="A74:F74"/>
    <mergeCell ref="B65:D65"/>
    <mergeCell ref="J65:L65"/>
    <mergeCell ref="B66:B67"/>
    <mergeCell ref="J66:J67"/>
    <mergeCell ref="B68:D68"/>
    <mergeCell ref="J68:L68"/>
  </mergeCells>
  <printOptions horizontalCentered="1"/>
  <pageMargins left="0.19685039370078741" right="0.19685039370078741" top="3.937007874015748E-2" bottom="0" header="0.43307086614173229" footer="0.51181102362204722"/>
  <pageSetup paperSize="9" scale="71" orientation="landscape" r:id="rId1"/>
  <headerFooter alignWithMargins="0"/>
  <rowBreaks count="1" manualBreakCount="1">
    <brk id="4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252D-51AA-4D3A-B6E7-31523746038B}">
  <sheetPr>
    <tabColor theme="6" tint="0.59999389629810485"/>
  </sheetPr>
  <dimension ref="A1:O31"/>
  <sheetViews>
    <sheetView tabSelected="1" topLeftCell="A10" zoomScaleNormal="100" workbookViewId="0">
      <selection activeCell="I35" sqref="I35"/>
    </sheetView>
  </sheetViews>
  <sheetFormatPr defaultRowHeight="15.75" x14ac:dyDescent="0.25"/>
  <cols>
    <col min="1" max="1" width="4.5703125" style="4" customWidth="1"/>
    <col min="2" max="2" width="31.7109375" style="4" customWidth="1"/>
    <col min="3" max="3" width="29.85546875" style="4" customWidth="1"/>
    <col min="4" max="4" width="8" style="4" customWidth="1"/>
    <col min="5" max="5" width="14.140625" style="4" customWidth="1"/>
    <col min="6" max="6" width="12.140625" style="4" customWidth="1"/>
    <col min="7" max="7" width="14.28515625" style="4" customWidth="1"/>
    <col min="8" max="8" width="14.7109375" style="4" customWidth="1"/>
    <col min="9" max="9" width="14.28515625" style="4" customWidth="1"/>
    <col min="10" max="10" width="12.7109375" style="4" customWidth="1"/>
    <col min="11" max="11" width="14.7109375" style="4" customWidth="1"/>
    <col min="12" max="12" width="12.140625" style="4" customWidth="1"/>
    <col min="13" max="14" width="11.28515625" style="10" bestFit="1" customWidth="1"/>
    <col min="15" max="16384" width="9.140625" style="4"/>
  </cols>
  <sheetData>
    <row r="1" spans="1:14" x14ac:dyDescent="0.25">
      <c r="F1" s="381" t="s">
        <v>203</v>
      </c>
      <c r="G1" s="381"/>
      <c r="H1" s="381"/>
      <c r="I1" s="381"/>
      <c r="J1" s="381"/>
      <c r="K1" s="381"/>
      <c r="L1" s="381"/>
      <c r="M1" s="239"/>
    </row>
    <row r="2" spans="1:14" x14ac:dyDescent="0.25">
      <c r="A2" s="74"/>
      <c r="B2" s="74"/>
      <c r="C2" s="74"/>
      <c r="D2" s="74"/>
      <c r="E2" s="72"/>
      <c r="F2" s="381" t="s">
        <v>204</v>
      </c>
      <c r="G2" s="381"/>
      <c r="H2" s="381"/>
      <c r="I2" s="381"/>
      <c r="J2" s="381"/>
      <c r="K2" s="381"/>
      <c r="L2" s="381"/>
    </row>
    <row r="3" spans="1:14" x14ac:dyDescent="0.25">
      <c r="A3" s="74"/>
      <c r="B3" s="74"/>
      <c r="C3" s="74"/>
      <c r="D3" s="74"/>
      <c r="E3" s="72"/>
      <c r="F3" s="20"/>
      <c r="G3" s="20"/>
      <c r="H3" s="20"/>
      <c r="I3" s="20"/>
      <c r="J3" s="20"/>
      <c r="K3" s="20"/>
      <c r="L3" s="20"/>
    </row>
    <row r="4" spans="1:14" x14ac:dyDescent="0.25">
      <c r="A4" s="372" t="s">
        <v>162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</row>
    <row r="5" spans="1:14" x14ac:dyDescent="0.25">
      <c r="A5" s="407" t="s">
        <v>135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</row>
    <row r="6" spans="1:14" s="3" customFormat="1" x14ac:dyDescent="0.25">
      <c r="A6" s="372" t="s">
        <v>194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240"/>
      <c r="N6" s="71"/>
    </row>
    <row r="7" spans="1:14" s="3" customFormat="1" x14ac:dyDescent="0.25">
      <c r="A7" s="372" t="s">
        <v>246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240"/>
      <c r="N7" s="71"/>
    </row>
    <row r="8" spans="1:14" ht="16.5" thickBot="1" x14ac:dyDescent="0.3">
      <c r="A8" s="38"/>
      <c r="B8" s="38"/>
      <c r="C8" s="38"/>
      <c r="D8" s="38"/>
      <c r="F8" s="3"/>
      <c r="G8" s="3"/>
      <c r="H8" s="3"/>
      <c r="I8" s="3"/>
      <c r="J8" s="39"/>
      <c r="K8" s="408" t="s">
        <v>155</v>
      </c>
      <c r="L8" s="408"/>
    </row>
    <row r="9" spans="1:14" x14ac:dyDescent="0.25">
      <c r="A9" s="393" t="s">
        <v>9</v>
      </c>
      <c r="B9" s="396" t="s">
        <v>105</v>
      </c>
      <c r="C9" s="396"/>
      <c r="D9" s="396"/>
      <c r="E9" s="397" t="s">
        <v>106</v>
      </c>
      <c r="F9" s="397"/>
      <c r="G9" s="397"/>
      <c r="H9" s="397"/>
      <c r="I9" s="397" t="s">
        <v>107</v>
      </c>
      <c r="J9" s="397"/>
      <c r="K9" s="397"/>
      <c r="L9" s="390" t="s">
        <v>108</v>
      </c>
    </row>
    <row r="10" spans="1:14" ht="31.5" x14ac:dyDescent="0.25">
      <c r="A10" s="394"/>
      <c r="B10" s="398" t="s">
        <v>109</v>
      </c>
      <c r="C10" s="398" t="s">
        <v>110</v>
      </c>
      <c r="D10" s="400" t="s">
        <v>134</v>
      </c>
      <c r="E10" s="83" t="s">
        <v>111</v>
      </c>
      <c r="F10" s="83" t="s">
        <v>112</v>
      </c>
      <c r="G10" s="82" t="s">
        <v>113</v>
      </c>
      <c r="H10" s="83" t="s">
        <v>114</v>
      </c>
      <c r="I10" s="402" t="s">
        <v>115</v>
      </c>
      <c r="J10" s="402" t="s">
        <v>112</v>
      </c>
      <c r="K10" s="402" t="s">
        <v>114</v>
      </c>
      <c r="L10" s="391"/>
    </row>
    <row r="11" spans="1:14" ht="16.5" thickBot="1" x14ac:dyDescent="0.3">
      <c r="A11" s="395"/>
      <c r="B11" s="399"/>
      <c r="C11" s="399"/>
      <c r="D11" s="401"/>
      <c r="E11" s="403" t="s">
        <v>116</v>
      </c>
      <c r="F11" s="403"/>
      <c r="G11" s="403"/>
      <c r="H11" s="403"/>
      <c r="I11" s="403"/>
      <c r="J11" s="403"/>
      <c r="K11" s="403"/>
      <c r="L11" s="392"/>
    </row>
    <row r="12" spans="1:14" ht="20.100000000000001" customHeight="1" x14ac:dyDescent="0.25">
      <c r="A12" s="404" t="s">
        <v>164</v>
      </c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6"/>
    </row>
    <row r="13" spans="1:14" s="137" customFormat="1" ht="20.100000000000001" customHeight="1" x14ac:dyDescent="0.25">
      <c r="A13" s="138" t="s">
        <v>1</v>
      </c>
      <c r="B13" s="140" t="s">
        <v>165</v>
      </c>
      <c r="C13" s="140" t="s">
        <v>166</v>
      </c>
      <c r="D13" s="49">
        <v>0.95</v>
      </c>
      <c r="E13" s="42">
        <v>17039745</v>
      </c>
      <c r="F13" s="223">
        <v>0</v>
      </c>
      <c r="G13" s="42">
        <f>3194952+3293729</f>
        <v>6488681</v>
      </c>
      <c r="H13" s="42">
        <f t="shared" ref="H13:H14" si="0">SUM(E13:G13)</f>
        <v>23528426</v>
      </c>
      <c r="I13" s="42">
        <f>21299681+3293729</f>
        <v>24593410</v>
      </c>
      <c r="J13" s="62">
        <v>0</v>
      </c>
      <c r="K13" s="64">
        <f t="shared" ref="K13:K27" si="1">SUM(I13:J13)</f>
        <v>24593410</v>
      </c>
      <c r="L13" s="65">
        <f>K13-H13</f>
        <v>1064984</v>
      </c>
      <c r="M13" s="241"/>
      <c r="N13" s="241"/>
    </row>
    <row r="14" spans="1:14" s="136" customFormat="1" ht="20.100000000000001" customHeight="1" x14ac:dyDescent="0.25">
      <c r="A14" s="138" t="s">
        <v>2</v>
      </c>
      <c r="B14" s="140" t="s">
        <v>167</v>
      </c>
      <c r="C14" s="140" t="s">
        <v>168</v>
      </c>
      <c r="D14" s="49">
        <v>0.95</v>
      </c>
      <c r="E14" s="223">
        <v>19973535</v>
      </c>
      <c r="F14" s="223">
        <v>0</v>
      </c>
      <c r="G14" s="223">
        <f>3745038+2486451</f>
        <v>6231489</v>
      </c>
      <c r="H14" s="223">
        <f t="shared" si="0"/>
        <v>26205024</v>
      </c>
      <c r="I14" s="223">
        <f>24966919+2486451</f>
        <v>27453370</v>
      </c>
      <c r="J14" s="62">
        <v>0</v>
      </c>
      <c r="K14" s="62">
        <f t="shared" si="1"/>
        <v>27453370</v>
      </c>
      <c r="L14" s="63">
        <f t="shared" ref="L14:L27" si="2">K14-H14</f>
        <v>1248346</v>
      </c>
      <c r="M14" s="242"/>
      <c r="N14" s="242"/>
    </row>
    <row r="15" spans="1:14" s="136" customFormat="1" ht="20.100000000000001" customHeight="1" x14ac:dyDescent="0.25">
      <c r="A15" s="138" t="s">
        <v>4</v>
      </c>
      <c r="B15" s="140" t="s">
        <v>169</v>
      </c>
      <c r="C15" s="140" t="s">
        <v>170</v>
      </c>
      <c r="D15" s="49">
        <v>0.95</v>
      </c>
      <c r="E15" s="223">
        <v>22551880</v>
      </c>
      <c r="F15" s="223">
        <v>0</v>
      </c>
      <c r="G15" s="223">
        <f>4228478+3378337</f>
        <v>7606815</v>
      </c>
      <c r="H15" s="223">
        <f t="shared" ref="H15:H27" si="3">SUM(E15:G15)</f>
        <v>30158695</v>
      </c>
      <c r="I15" s="223">
        <f>28189851+3378337</f>
        <v>31568188</v>
      </c>
      <c r="J15" s="62">
        <v>0</v>
      </c>
      <c r="K15" s="62">
        <f t="shared" si="1"/>
        <v>31568188</v>
      </c>
      <c r="L15" s="63">
        <f t="shared" si="2"/>
        <v>1409493</v>
      </c>
      <c r="M15" s="242"/>
      <c r="N15" s="242"/>
    </row>
    <row r="16" spans="1:14" s="136" customFormat="1" ht="20.100000000000001" customHeight="1" x14ac:dyDescent="0.25">
      <c r="A16" s="138" t="s">
        <v>5</v>
      </c>
      <c r="B16" s="140" t="s">
        <v>171</v>
      </c>
      <c r="C16" s="140" t="s">
        <v>172</v>
      </c>
      <c r="D16" s="49">
        <v>0.95</v>
      </c>
      <c r="E16" s="223">
        <v>18855931</v>
      </c>
      <c r="F16" s="223">
        <v>0</v>
      </c>
      <c r="G16" s="223">
        <f>3535487+2401992</f>
        <v>5937479</v>
      </c>
      <c r="H16" s="223">
        <f t="shared" si="3"/>
        <v>24793410</v>
      </c>
      <c r="I16" s="223">
        <f>23569915+2401992</f>
        <v>25971907</v>
      </c>
      <c r="J16" s="62">
        <v>0</v>
      </c>
      <c r="K16" s="62">
        <f t="shared" si="1"/>
        <v>25971907</v>
      </c>
      <c r="L16" s="63">
        <f t="shared" si="2"/>
        <v>1178497</v>
      </c>
      <c r="M16" s="242"/>
      <c r="N16" s="242"/>
    </row>
    <row r="17" spans="1:15" s="136" customFormat="1" ht="20.100000000000001" customHeight="1" x14ac:dyDescent="0.25">
      <c r="A17" s="138" t="s">
        <v>7</v>
      </c>
      <c r="B17" s="156" t="s">
        <v>173</v>
      </c>
      <c r="C17" s="140" t="s">
        <v>174</v>
      </c>
      <c r="D17" s="49">
        <v>0.95</v>
      </c>
      <c r="E17" s="223">
        <v>25231228</v>
      </c>
      <c r="F17" s="223">
        <v>0</v>
      </c>
      <c r="G17" s="223">
        <f>4730855+2079700</f>
        <v>6810555</v>
      </c>
      <c r="H17" s="223">
        <f t="shared" si="3"/>
        <v>32041783</v>
      </c>
      <c r="I17" s="223">
        <f>31539035+2079700</f>
        <v>33618735</v>
      </c>
      <c r="J17" s="62">
        <v>0</v>
      </c>
      <c r="K17" s="62">
        <f t="shared" si="1"/>
        <v>33618735</v>
      </c>
      <c r="L17" s="63">
        <f t="shared" si="2"/>
        <v>1576952</v>
      </c>
      <c r="M17" s="242"/>
      <c r="N17" s="242"/>
    </row>
    <row r="18" spans="1:15" s="136" customFormat="1" ht="20.100000000000001" customHeight="1" x14ac:dyDescent="0.25">
      <c r="A18" s="138" t="s">
        <v>28</v>
      </c>
      <c r="B18" s="156" t="s">
        <v>185</v>
      </c>
      <c r="C18" s="140" t="s">
        <v>186</v>
      </c>
      <c r="D18" s="49">
        <v>0.95</v>
      </c>
      <c r="E18" s="223">
        <f>22349970+7857295</f>
        <v>30207265</v>
      </c>
      <c r="F18" s="223">
        <v>0</v>
      </c>
      <c r="G18" s="223">
        <v>0</v>
      </c>
      <c r="H18" s="223">
        <f t="shared" si="3"/>
        <v>30207265</v>
      </c>
      <c r="I18" s="223">
        <f>23526284+6040753</f>
        <v>29567037</v>
      </c>
      <c r="J18" s="62">
        <v>0</v>
      </c>
      <c r="K18" s="62">
        <f t="shared" si="1"/>
        <v>29567037</v>
      </c>
      <c r="L18" s="63">
        <v>1176314</v>
      </c>
      <c r="M18" s="242"/>
      <c r="N18" s="242"/>
    </row>
    <row r="19" spans="1:15" s="136" customFormat="1" ht="20.100000000000001" customHeight="1" x14ac:dyDescent="0.25">
      <c r="A19" s="138" t="s">
        <v>89</v>
      </c>
      <c r="B19" s="156" t="s">
        <v>187</v>
      </c>
      <c r="C19" s="140" t="s">
        <v>188</v>
      </c>
      <c r="D19" s="49">
        <v>0.95</v>
      </c>
      <c r="E19" s="223">
        <v>21089030</v>
      </c>
      <c r="F19" s="223">
        <v>0</v>
      </c>
      <c r="G19" s="223">
        <f>3954193+4286716</f>
        <v>8240909</v>
      </c>
      <c r="H19" s="223">
        <f t="shared" si="3"/>
        <v>29329939</v>
      </c>
      <c r="I19" s="223">
        <f>26361288+4286716</f>
        <v>30648004</v>
      </c>
      <c r="J19" s="62">
        <v>0</v>
      </c>
      <c r="K19" s="62">
        <f t="shared" si="1"/>
        <v>30648004</v>
      </c>
      <c r="L19" s="63">
        <f t="shared" si="2"/>
        <v>1318065</v>
      </c>
      <c r="M19" s="242"/>
      <c r="N19" s="242"/>
    </row>
    <row r="20" spans="1:15" s="136" customFormat="1" ht="20.100000000000001" customHeight="1" x14ac:dyDescent="0.25">
      <c r="A20" s="138" t="s">
        <v>153</v>
      </c>
      <c r="B20" s="156" t="s">
        <v>212</v>
      </c>
      <c r="C20" s="140" t="s">
        <v>213</v>
      </c>
      <c r="D20" s="49">
        <v>0.95</v>
      </c>
      <c r="E20" s="223">
        <v>12948173</v>
      </c>
      <c r="F20" s="223">
        <v>272650</v>
      </c>
      <c r="G20" s="223">
        <v>0</v>
      </c>
      <c r="H20" s="223">
        <f t="shared" si="3"/>
        <v>13220823</v>
      </c>
      <c r="I20" s="223">
        <v>13629656</v>
      </c>
      <c r="J20" s="62">
        <v>287000</v>
      </c>
      <c r="K20" s="62">
        <f t="shared" si="1"/>
        <v>13916656</v>
      </c>
      <c r="L20" s="63">
        <f t="shared" si="2"/>
        <v>695833</v>
      </c>
      <c r="M20" s="242"/>
      <c r="N20" s="242"/>
    </row>
    <row r="21" spans="1:15" s="136" customFormat="1" ht="20.100000000000001" customHeight="1" x14ac:dyDescent="0.25">
      <c r="A21" s="138" t="s">
        <v>154</v>
      </c>
      <c r="B21" s="156" t="s">
        <v>214</v>
      </c>
      <c r="C21" s="140" t="s">
        <v>215</v>
      </c>
      <c r="D21" s="49">
        <v>0.95</v>
      </c>
      <c r="E21" s="223">
        <v>27467649</v>
      </c>
      <c r="F21" s="223">
        <v>129398327</v>
      </c>
      <c r="G21" s="223">
        <v>0</v>
      </c>
      <c r="H21" s="223">
        <f t="shared" si="3"/>
        <v>156865976</v>
      </c>
      <c r="I21" s="223">
        <v>28913314</v>
      </c>
      <c r="J21" s="62">
        <v>136208765</v>
      </c>
      <c r="K21" s="62">
        <f t="shared" si="1"/>
        <v>165122079</v>
      </c>
      <c r="L21" s="63">
        <f t="shared" si="2"/>
        <v>8256103</v>
      </c>
      <c r="M21" s="242"/>
      <c r="N21" s="242"/>
    </row>
    <row r="22" spans="1:15" s="136" customFormat="1" ht="20.100000000000001" customHeight="1" x14ac:dyDescent="0.25">
      <c r="A22" s="138" t="s">
        <v>149</v>
      </c>
      <c r="B22" s="290" t="s">
        <v>216</v>
      </c>
      <c r="C22" s="140" t="s">
        <v>217</v>
      </c>
      <c r="D22" s="41">
        <v>0.95</v>
      </c>
      <c r="E22" s="223">
        <v>172316471</v>
      </c>
      <c r="F22" s="223">
        <v>177185940</v>
      </c>
      <c r="G22" s="223">
        <v>0</v>
      </c>
      <c r="H22" s="223">
        <f t="shared" si="3"/>
        <v>349502411</v>
      </c>
      <c r="I22" s="223">
        <f>181385758-13400000</f>
        <v>167985758</v>
      </c>
      <c r="J22" s="223">
        <f>186511517+13400000+166861542</f>
        <v>366773059</v>
      </c>
      <c r="K22" s="223">
        <f t="shared" si="1"/>
        <v>534758817</v>
      </c>
      <c r="L22" s="63">
        <f t="shared" si="2"/>
        <v>185256406</v>
      </c>
      <c r="M22" s="242"/>
      <c r="N22" s="242"/>
    </row>
    <row r="23" spans="1:15" s="231" customFormat="1" ht="20.100000000000001" customHeight="1" x14ac:dyDescent="0.25">
      <c r="A23" s="138" t="s">
        <v>129</v>
      </c>
      <c r="B23" s="140" t="s">
        <v>157</v>
      </c>
      <c r="C23" s="140">
        <v>101225246</v>
      </c>
      <c r="D23" s="41">
        <v>0.72299999999999998</v>
      </c>
      <c r="E23" s="223">
        <v>12464000</v>
      </c>
      <c r="F23" s="223">
        <v>0</v>
      </c>
      <c r="G23" s="223">
        <v>0</v>
      </c>
      <c r="H23" s="223">
        <f t="shared" si="3"/>
        <v>12464000</v>
      </c>
      <c r="I23" s="223">
        <v>17232300</v>
      </c>
      <c r="J23" s="223">
        <v>0</v>
      </c>
      <c r="K23" s="223">
        <f t="shared" si="1"/>
        <v>17232300</v>
      </c>
      <c r="L23" s="221">
        <f t="shared" si="2"/>
        <v>4768300</v>
      </c>
      <c r="M23" s="230"/>
      <c r="N23" s="242"/>
    </row>
    <row r="24" spans="1:15" ht="20.100000000000001" customHeight="1" x14ac:dyDescent="0.25">
      <c r="A24" s="48" t="s">
        <v>130</v>
      </c>
      <c r="B24" s="156" t="s">
        <v>160</v>
      </c>
      <c r="C24" s="291" t="s">
        <v>161</v>
      </c>
      <c r="D24" s="41">
        <v>1</v>
      </c>
      <c r="E24" s="223">
        <f>45211738</f>
        <v>45211738</v>
      </c>
      <c r="F24" s="223">
        <v>0</v>
      </c>
      <c r="G24" s="223">
        <v>656388283</v>
      </c>
      <c r="H24" s="223">
        <f t="shared" si="3"/>
        <v>701600021</v>
      </c>
      <c r="I24" s="223">
        <f>628905061+45211738</f>
        <v>674116799</v>
      </c>
      <c r="J24" s="223">
        <v>27483222</v>
      </c>
      <c r="K24" s="223">
        <f t="shared" si="1"/>
        <v>701600021</v>
      </c>
      <c r="L24" s="63">
        <f t="shared" si="2"/>
        <v>0</v>
      </c>
      <c r="O24" s="10"/>
    </row>
    <row r="25" spans="1:15" ht="20.100000000000001" customHeight="1" x14ac:dyDescent="0.25">
      <c r="A25" s="217" t="s">
        <v>131</v>
      </c>
      <c r="B25" s="218" t="s">
        <v>192</v>
      </c>
      <c r="C25" s="220" t="s">
        <v>193</v>
      </c>
      <c r="D25" s="219">
        <v>1</v>
      </c>
      <c r="E25" s="62">
        <v>0</v>
      </c>
      <c r="F25" s="62">
        <v>0</v>
      </c>
      <c r="G25" s="62">
        <v>1031037130</v>
      </c>
      <c r="H25" s="62">
        <f>SUM(E25:G25)</f>
        <v>1031037130</v>
      </c>
      <c r="I25" s="62">
        <v>978923681</v>
      </c>
      <c r="J25" s="62">
        <v>52113449</v>
      </c>
      <c r="K25" s="62">
        <f>SUM(I25:J25)</f>
        <v>1031037130</v>
      </c>
      <c r="L25" s="63">
        <f t="shared" si="2"/>
        <v>0</v>
      </c>
    </row>
    <row r="26" spans="1:15" s="137" customFormat="1" ht="28.5" customHeight="1" x14ac:dyDescent="0.25">
      <c r="A26" s="48" t="s">
        <v>132</v>
      </c>
      <c r="B26" s="158" t="s">
        <v>218</v>
      </c>
      <c r="C26" s="232" t="s">
        <v>219</v>
      </c>
      <c r="D26" s="49">
        <v>1</v>
      </c>
      <c r="E26" s="62">
        <v>89400000</v>
      </c>
      <c r="F26" s="62">
        <v>6000000</v>
      </c>
      <c r="G26" s="62">
        <v>0</v>
      </c>
      <c r="H26" s="62">
        <f t="shared" si="3"/>
        <v>95400000</v>
      </c>
      <c r="I26" s="62">
        <v>89400000</v>
      </c>
      <c r="J26" s="62">
        <v>6000000</v>
      </c>
      <c r="K26" s="62">
        <f t="shared" si="1"/>
        <v>95400000</v>
      </c>
      <c r="L26" s="63">
        <f t="shared" si="2"/>
        <v>0</v>
      </c>
      <c r="M26" s="241"/>
      <c r="N26" s="241"/>
    </row>
    <row r="27" spans="1:15" ht="20.100000000000001" customHeight="1" x14ac:dyDescent="0.25">
      <c r="A27" s="48" t="s">
        <v>133</v>
      </c>
      <c r="B27" s="158" t="s">
        <v>159</v>
      </c>
      <c r="C27" s="157" t="s">
        <v>158</v>
      </c>
      <c r="D27" s="41">
        <v>1</v>
      </c>
      <c r="E27" s="62">
        <v>0</v>
      </c>
      <c r="F27" s="62">
        <v>0</v>
      </c>
      <c r="G27" s="62">
        <v>1131539</v>
      </c>
      <c r="H27" s="62">
        <f t="shared" si="3"/>
        <v>1131539</v>
      </c>
      <c r="I27" s="62">
        <v>1131539</v>
      </c>
      <c r="J27" s="62">
        <v>0</v>
      </c>
      <c r="K27" s="62">
        <f t="shared" si="1"/>
        <v>1131539</v>
      </c>
      <c r="L27" s="63">
        <f t="shared" si="2"/>
        <v>0</v>
      </c>
      <c r="O27" s="10"/>
    </row>
    <row r="28" spans="1:15" ht="20.100000000000001" customHeight="1" x14ac:dyDescent="0.25">
      <c r="A28" s="48" t="s">
        <v>138</v>
      </c>
      <c r="B28" s="51" t="s">
        <v>146</v>
      </c>
      <c r="C28" s="50" t="s">
        <v>145</v>
      </c>
      <c r="D28" s="49">
        <v>1</v>
      </c>
      <c r="E28" s="62">
        <v>0</v>
      </c>
      <c r="F28" s="62">
        <v>0</v>
      </c>
      <c r="G28" s="62">
        <v>191995</v>
      </c>
      <c r="H28" s="62">
        <f>SUM(E28:G28)</f>
        <v>191995</v>
      </c>
      <c r="I28" s="62">
        <v>191995</v>
      </c>
      <c r="J28" s="62">
        <v>0</v>
      </c>
      <c r="K28" s="62">
        <f>SUM(I28:J28)</f>
        <v>191995</v>
      </c>
      <c r="L28" s="63">
        <f>K28-H28</f>
        <v>0</v>
      </c>
    </row>
    <row r="29" spans="1:15" ht="20.100000000000001" customHeight="1" x14ac:dyDescent="0.25">
      <c r="A29" s="48" t="s">
        <v>139</v>
      </c>
      <c r="B29" s="51" t="s">
        <v>143</v>
      </c>
      <c r="C29" s="50" t="s">
        <v>144</v>
      </c>
      <c r="D29" s="49">
        <v>1</v>
      </c>
      <c r="E29" s="64">
        <v>0</v>
      </c>
      <c r="F29" s="62">
        <v>0</v>
      </c>
      <c r="G29" s="66">
        <v>283673</v>
      </c>
      <c r="H29" s="40">
        <f t="shared" ref="H29" si="4">SUM(E29:G29)</f>
        <v>283673</v>
      </c>
      <c r="I29" s="62">
        <v>283673</v>
      </c>
      <c r="J29" s="40">
        <v>0</v>
      </c>
      <c r="K29" s="40">
        <f>SUM(I29:J29)</f>
        <v>283673</v>
      </c>
      <c r="L29" s="63">
        <f>K29-H29</f>
        <v>0</v>
      </c>
    </row>
    <row r="30" spans="1:15" ht="20.100000000000001" customHeight="1" thickBot="1" x14ac:dyDescent="0.3">
      <c r="A30" s="388" t="s">
        <v>175</v>
      </c>
      <c r="B30" s="389"/>
      <c r="C30" s="389"/>
      <c r="D30" s="389"/>
      <c r="E30" s="85">
        <f t="shared" ref="E30:L30" si="5">SUM(E13:E29)</f>
        <v>514756645</v>
      </c>
      <c r="F30" s="85">
        <f t="shared" si="5"/>
        <v>312856917</v>
      </c>
      <c r="G30" s="85">
        <f t="shared" si="5"/>
        <v>1730348548</v>
      </c>
      <c r="H30" s="85">
        <f t="shared" si="5"/>
        <v>2557962110</v>
      </c>
      <c r="I30" s="85">
        <f t="shared" si="5"/>
        <v>2175229366</v>
      </c>
      <c r="J30" s="85">
        <f t="shared" si="5"/>
        <v>588865495</v>
      </c>
      <c r="K30" s="85">
        <f t="shared" si="5"/>
        <v>2764094861</v>
      </c>
      <c r="L30" s="86">
        <f t="shared" si="5"/>
        <v>207949293</v>
      </c>
    </row>
    <row r="31" spans="1:15" ht="20.100000000000001" customHeight="1" x14ac:dyDescent="0.25">
      <c r="J31" s="10"/>
    </row>
  </sheetData>
  <mergeCells count="21">
    <mergeCell ref="F1:L1"/>
    <mergeCell ref="A4:L4"/>
    <mergeCell ref="A5:L5"/>
    <mergeCell ref="A7:L7"/>
    <mergeCell ref="K8:L8"/>
    <mergeCell ref="F2:L2"/>
    <mergeCell ref="A6:L6"/>
    <mergeCell ref="A30:D30"/>
    <mergeCell ref="L9:L11"/>
    <mergeCell ref="A9:A11"/>
    <mergeCell ref="B9:D9"/>
    <mergeCell ref="E9:H9"/>
    <mergeCell ref="I9:K9"/>
    <mergeCell ref="B10:B11"/>
    <mergeCell ref="C10:C11"/>
    <mergeCell ref="D10:D11"/>
    <mergeCell ref="I10:I11"/>
    <mergeCell ref="J10:J11"/>
    <mergeCell ref="K10:K11"/>
    <mergeCell ref="E11:H11"/>
    <mergeCell ref="A12:L12"/>
  </mergeCells>
  <phoneticPr fontId="31" type="noConversion"/>
  <pageMargins left="0.11811023622047245" right="0.11811023622047245" top="0.15748031496062992" bottom="0.15748031496062992" header="0.31496062992125984" footer="0.31496062992125984"/>
  <pageSetup paperSize="9" scale="79" orientation="landscape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8B09F-85B6-40BB-8475-7648E851D147}">
  <sheetPr>
    <tabColor theme="6" tint="0.59999389629810485"/>
  </sheetPr>
  <dimension ref="A1:O67"/>
  <sheetViews>
    <sheetView topLeftCell="A40" zoomScaleNormal="100" workbookViewId="0">
      <selection activeCell="Q52" sqref="Q52"/>
    </sheetView>
  </sheetViews>
  <sheetFormatPr defaultRowHeight="15.75" x14ac:dyDescent="0.25"/>
  <cols>
    <col min="1" max="1" width="4.5703125" style="69" customWidth="1"/>
    <col min="2" max="2" width="15.7109375" style="69" customWidth="1"/>
    <col min="3" max="3" width="27.7109375" style="69" customWidth="1"/>
    <col min="4" max="4" width="8.7109375" style="69" customWidth="1"/>
    <col min="5" max="5" width="13.7109375" style="69" customWidth="1"/>
    <col min="6" max="6" width="14.5703125" style="69" customWidth="1"/>
    <col min="7" max="7" width="13.7109375" style="69" customWidth="1"/>
    <col min="8" max="9" width="12.7109375" style="69" customWidth="1"/>
    <col min="10" max="10" width="15.28515625" style="69" customWidth="1"/>
    <col min="11" max="11" width="14.7109375" style="69" customWidth="1"/>
    <col min="12" max="12" width="12.140625" style="69" customWidth="1"/>
    <col min="13" max="13" width="14.7109375" style="69" customWidth="1"/>
    <col min="14" max="16384" width="9.140625" style="69"/>
  </cols>
  <sheetData>
    <row r="1" spans="1:15" ht="18" customHeight="1" x14ac:dyDescent="0.25">
      <c r="E1" s="381" t="s">
        <v>205</v>
      </c>
      <c r="F1" s="381"/>
      <c r="G1" s="381"/>
      <c r="H1" s="381"/>
      <c r="I1" s="381"/>
      <c r="J1" s="381"/>
      <c r="K1" s="381"/>
      <c r="L1" s="381"/>
      <c r="M1" s="381"/>
    </row>
    <row r="2" spans="1:15" ht="18" customHeight="1" x14ac:dyDescent="0.25">
      <c r="E2" s="381" t="s">
        <v>206</v>
      </c>
      <c r="F2" s="381"/>
      <c r="G2" s="381"/>
      <c r="H2" s="381"/>
      <c r="I2" s="381"/>
      <c r="J2" s="381"/>
      <c r="K2" s="381"/>
      <c r="L2" s="381"/>
      <c r="M2" s="381"/>
    </row>
    <row r="3" spans="1:15" ht="18" customHeight="1" x14ac:dyDescent="0.25">
      <c r="E3" s="46"/>
      <c r="F3" s="46"/>
      <c r="G3" s="46"/>
      <c r="H3" s="46"/>
      <c r="I3" s="46"/>
      <c r="J3" s="46"/>
      <c r="K3" s="46"/>
      <c r="L3" s="46"/>
      <c r="M3" s="46"/>
    </row>
    <row r="4" spans="1:15" ht="15.95" customHeight="1" x14ac:dyDescent="0.25">
      <c r="A4" s="452" t="s">
        <v>162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3"/>
    </row>
    <row r="5" spans="1:15" ht="15.95" customHeight="1" x14ac:dyDescent="0.25">
      <c r="A5" s="451" t="s">
        <v>136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</row>
    <row r="6" spans="1:15" s="67" customFormat="1" ht="15.95" customHeight="1" x14ac:dyDescent="0.25">
      <c r="A6" s="452" t="s">
        <v>194</v>
      </c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</row>
    <row r="7" spans="1:15" s="73" customFormat="1" ht="15.95" customHeight="1" x14ac:dyDescent="0.25">
      <c r="A7" s="452" t="s">
        <v>246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68"/>
      <c r="O7" s="68"/>
    </row>
    <row r="8" spans="1:15" ht="18" customHeight="1" thickBot="1" x14ac:dyDescent="0.3">
      <c r="A8" s="52"/>
      <c r="B8" s="52"/>
      <c r="C8" s="52"/>
      <c r="D8" s="52"/>
      <c r="E8" s="52"/>
      <c r="I8" s="73"/>
      <c r="J8" s="73"/>
      <c r="K8" s="73"/>
      <c r="L8" s="453" t="s">
        <v>155</v>
      </c>
      <c r="M8" s="453"/>
    </row>
    <row r="9" spans="1:15" ht="15" customHeight="1" x14ac:dyDescent="0.25">
      <c r="A9" s="469" t="s">
        <v>9</v>
      </c>
      <c r="B9" s="472" t="s">
        <v>105</v>
      </c>
      <c r="C9" s="473"/>
      <c r="D9" s="474"/>
      <c r="E9" s="475" t="s">
        <v>117</v>
      </c>
      <c r="F9" s="476"/>
      <c r="G9" s="476"/>
      <c r="H9" s="476"/>
      <c r="I9" s="476"/>
      <c r="J9" s="476"/>
      <c r="K9" s="477"/>
      <c r="L9" s="478" t="s">
        <v>108</v>
      </c>
      <c r="M9" s="479" t="s">
        <v>114</v>
      </c>
    </row>
    <row r="10" spans="1:15" ht="15" customHeight="1" x14ac:dyDescent="0.25">
      <c r="A10" s="470"/>
      <c r="B10" s="457" t="s">
        <v>109</v>
      </c>
      <c r="C10" s="457" t="s">
        <v>110</v>
      </c>
      <c r="D10" s="454" t="s">
        <v>134</v>
      </c>
      <c r="E10" s="457" t="s">
        <v>118</v>
      </c>
      <c r="F10" s="460" t="s">
        <v>119</v>
      </c>
      <c r="G10" s="461"/>
      <c r="H10" s="461"/>
      <c r="I10" s="461"/>
      <c r="J10" s="461"/>
      <c r="K10" s="462"/>
      <c r="L10" s="458"/>
      <c r="M10" s="480"/>
    </row>
    <row r="11" spans="1:15" ht="15" customHeight="1" x14ac:dyDescent="0.25">
      <c r="A11" s="470"/>
      <c r="B11" s="458"/>
      <c r="C11" s="458"/>
      <c r="D11" s="455"/>
      <c r="E11" s="458"/>
      <c r="F11" s="460" t="s">
        <v>150</v>
      </c>
      <c r="G11" s="462"/>
      <c r="H11" s="463" t="s">
        <v>189</v>
      </c>
      <c r="I11" s="464"/>
      <c r="J11" s="465" t="s">
        <v>120</v>
      </c>
      <c r="K11" s="467" t="s">
        <v>114</v>
      </c>
      <c r="L11" s="458"/>
      <c r="M11" s="480"/>
    </row>
    <row r="12" spans="1:15" ht="15" customHeight="1" thickBot="1" x14ac:dyDescent="0.3">
      <c r="A12" s="471"/>
      <c r="B12" s="459"/>
      <c r="C12" s="459"/>
      <c r="D12" s="456"/>
      <c r="E12" s="459"/>
      <c r="F12" s="139" t="s">
        <v>151</v>
      </c>
      <c r="G12" s="139" t="s">
        <v>152</v>
      </c>
      <c r="H12" s="139" t="s">
        <v>190</v>
      </c>
      <c r="I12" s="139" t="s">
        <v>191</v>
      </c>
      <c r="J12" s="466"/>
      <c r="K12" s="468"/>
      <c r="L12" s="459"/>
      <c r="M12" s="481"/>
    </row>
    <row r="13" spans="1:15" ht="15" customHeight="1" x14ac:dyDescent="0.25">
      <c r="A13" s="421" t="s">
        <v>1</v>
      </c>
      <c r="B13" s="446" t="s">
        <v>165</v>
      </c>
      <c r="C13" s="446" t="s">
        <v>166</v>
      </c>
      <c r="D13" s="418">
        <v>0.95</v>
      </c>
      <c r="E13" s="159" t="s">
        <v>121</v>
      </c>
      <c r="F13" s="53">
        <v>0</v>
      </c>
      <c r="G13" s="53">
        <v>17039745</v>
      </c>
      <c r="H13" s="53">
        <v>0</v>
      </c>
      <c r="I13" s="53">
        <v>0</v>
      </c>
      <c r="J13" s="53">
        <f>3194952+3293729</f>
        <v>6488681</v>
      </c>
      <c r="K13" s="53">
        <f>SUM(F13:J13)</f>
        <v>23528426</v>
      </c>
      <c r="L13" s="53">
        <v>1064984</v>
      </c>
      <c r="M13" s="54">
        <f t="shared" ref="M13:M42" si="0">K13+L13</f>
        <v>24593410</v>
      </c>
    </row>
    <row r="14" spans="1:15" ht="15" customHeight="1" x14ac:dyDescent="0.25">
      <c r="A14" s="422"/>
      <c r="B14" s="447"/>
      <c r="C14" s="447"/>
      <c r="D14" s="419"/>
      <c r="E14" s="160" t="s">
        <v>122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/>
      <c r="M14" s="56">
        <f t="shared" si="0"/>
        <v>0</v>
      </c>
    </row>
    <row r="15" spans="1:15" ht="15" customHeight="1" thickBot="1" x14ac:dyDescent="0.3">
      <c r="A15" s="423"/>
      <c r="B15" s="448"/>
      <c r="C15" s="448"/>
      <c r="D15" s="420"/>
      <c r="E15" s="208" t="s">
        <v>114</v>
      </c>
      <c r="F15" s="209">
        <f t="shared" ref="F15:L15" si="1">SUM(F13:F14)</f>
        <v>0</v>
      </c>
      <c r="G15" s="209">
        <f t="shared" si="1"/>
        <v>17039745</v>
      </c>
      <c r="H15" s="209">
        <f t="shared" si="1"/>
        <v>0</v>
      </c>
      <c r="I15" s="209">
        <f t="shared" si="1"/>
        <v>0</v>
      </c>
      <c r="J15" s="209">
        <f t="shared" si="1"/>
        <v>6488681</v>
      </c>
      <c r="K15" s="209">
        <f t="shared" si="1"/>
        <v>23528426</v>
      </c>
      <c r="L15" s="209">
        <f t="shared" si="1"/>
        <v>1064984</v>
      </c>
      <c r="M15" s="210">
        <f t="shared" si="0"/>
        <v>24593410</v>
      </c>
    </row>
    <row r="16" spans="1:15" s="143" customFormat="1" ht="15" customHeight="1" x14ac:dyDescent="0.25">
      <c r="A16" s="421" t="s">
        <v>2</v>
      </c>
      <c r="B16" s="446" t="s">
        <v>167</v>
      </c>
      <c r="C16" s="446" t="s">
        <v>168</v>
      </c>
      <c r="D16" s="418">
        <v>0.95</v>
      </c>
      <c r="E16" s="161" t="s">
        <v>121</v>
      </c>
      <c r="F16" s="53">
        <v>0</v>
      </c>
      <c r="G16" s="53">
        <v>19973535</v>
      </c>
      <c r="H16" s="53">
        <v>0</v>
      </c>
      <c r="I16" s="53">
        <v>0</v>
      </c>
      <c r="J16" s="53">
        <f>3745038+2486451</f>
        <v>6231489</v>
      </c>
      <c r="K16" s="53">
        <f>SUM(F16:J16)</f>
        <v>26205024</v>
      </c>
      <c r="L16" s="53">
        <v>1248346</v>
      </c>
      <c r="M16" s="54">
        <f>K16+L16</f>
        <v>27453370</v>
      </c>
    </row>
    <row r="17" spans="1:13" ht="15" customHeight="1" x14ac:dyDescent="0.25">
      <c r="A17" s="422"/>
      <c r="B17" s="447"/>
      <c r="C17" s="447"/>
      <c r="D17" s="419"/>
      <c r="E17" s="160" t="s">
        <v>122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6">
        <f t="shared" si="0"/>
        <v>0</v>
      </c>
    </row>
    <row r="18" spans="1:13" ht="15" customHeight="1" thickBot="1" x14ac:dyDescent="0.3">
      <c r="A18" s="423"/>
      <c r="B18" s="448"/>
      <c r="C18" s="448"/>
      <c r="D18" s="420"/>
      <c r="E18" s="208" t="s">
        <v>114</v>
      </c>
      <c r="F18" s="209">
        <f t="shared" ref="F18:L18" si="2">SUM(F16:F17)</f>
        <v>0</v>
      </c>
      <c r="G18" s="209">
        <f t="shared" si="2"/>
        <v>19973535</v>
      </c>
      <c r="H18" s="209">
        <f t="shared" si="2"/>
        <v>0</v>
      </c>
      <c r="I18" s="209">
        <f t="shared" si="2"/>
        <v>0</v>
      </c>
      <c r="J18" s="209">
        <f t="shared" si="2"/>
        <v>6231489</v>
      </c>
      <c r="K18" s="209">
        <f t="shared" si="2"/>
        <v>26205024</v>
      </c>
      <c r="L18" s="209">
        <f t="shared" si="2"/>
        <v>1248346</v>
      </c>
      <c r="M18" s="210">
        <f t="shared" si="0"/>
        <v>27453370</v>
      </c>
    </row>
    <row r="19" spans="1:13" ht="15" customHeight="1" x14ac:dyDescent="0.25">
      <c r="A19" s="421" t="s">
        <v>4</v>
      </c>
      <c r="B19" s="446" t="s">
        <v>169</v>
      </c>
      <c r="C19" s="446" t="s">
        <v>170</v>
      </c>
      <c r="D19" s="418">
        <v>0.95</v>
      </c>
      <c r="E19" s="159" t="s">
        <v>121</v>
      </c>
      <c r="F19" s="53">
        <v>0</v>
      </c>
      <c r="G19" s="53">
        <v>22551880</v>
      </c>
      <c r="H19" s="53">
        <v>0</v>
      </c>
      <c r="I19" s="53">
        <v>0</v>
      </c>
      <c r="J19" s="53">
        <f>4228478+3378337</f>
        <v>7606815</v>
      </c>
      <c r="K19" s="53">
        <f>SUM(F19:J19)</f>
        <v>30158695</v>
      </c>
      <c r="L19" s="53">
        <v>1409493</v>
      </c>
      <c r="M19" s="54">
        <f t="shared" si="0"/>
        <v>31568188</v>
      </c>
    </row>
    <row r="20" spans="1:13" ht="15" customHeight="1" x14ac:dyDescent="0.25">
      <c r="A20" s="422"/>
      <c r="B20" s="447"/>
      <c r="C20" s="447"/>
      <c r="D20" s="419"/>
      <c r="E20" s="160" t="s">
        <v>122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6">
        <f t="shared" si="0"/>
        <v>0</v>
      </c>
    </row>
    <row r="21" spans="1:13" ht="15" customHeight="1" thickBot="1" x14ac:dyDescent="0.3">
      <c r="A21" s="423"/>
      <c r="B21" s="448"/>
      <c r="C21" s="448"/>
      <c r="D21" s="420"/>
      <c r="E21" s="208" t="s">
        <v>114</v>
      </c>
      <c r="F21" s="209">
        <f t="shared" ref="F21:L21" si="3">SUM(F19:F20)</f>
        <v>0</v>
      </c>
      <c r="G21" s="209">
        <f t="shared" si="3"/>
        <v>22551880</v>
      </c>
      <c r="H21" s="209">
        <f t="shared" si="3"/>
        <v>0</v>
      </c>
      <c r="I21" s="209">
        <f t="shared" si="3"/>
        <v>0</v>
      </c>
      <c r="J21" s="209">
        <f t="shared" si="3"/>
        <v>7606815</v>
      </c>
      <c r="K21" s="209">
        <f t="shared" si="3"/>
        <v>30158695</v>
      </c>
      <c r="L21" s="209">
        <f t="shared" si="3"/>
        <v>1409493</v>
      </c>
      <c r="M21" s="210">
        <f t="shared" si="0"/>
        <v>31568188</v>
      </c>
    </row>
    <row r="22" spans="1:13" ht="15" customHeight="1" x14ac:dyDescent="0.25">
      <c r="A22" s="421" t="s">
        <v>5</v>
      </c>
      <c r="B22" s="446" t="s">
        <v>171</v>
      </c>
      <c r="C22" s="446" t="s">
        <v>172</v>
      </c>
      <c r="D22" s="418">
        <v>0.95</v>
      </c>
      <c r="E22" s="159" t="s">
        <v>121</v>
      </c>
      <c r="F22" s="141">
        <v>0</v>
      </c>
      <c r="G22" s="141">
        <v>18855931</v>
      </c>
      <c r="H22" s="141">
        <v>0</v>
      </c>
      <c r="I22" s="141">
        <v>0</v>
      </c>
      <c r="J22" s="53">
        <f>3535487+2401992</f>
        <v>5937479</v>
      </c>
      <c r="K22" s="141">
        <f>SUM(F22:J22)</f>
        <v>24793410</v>
      </c>
      <c r="L22" s="141">
        <v>1178497</v>
      </c>
      <c r="M22" s="142">
        <f t="shared" si="0"/>
        <v>25971907</v>
      </c>
    </row>
    <row r="23" spans="1:13" ht="15" customHeight="1" x14ac:dyDescent="0.25">
      <c r="A23" s="422"/>
      <c r="B23" s="447"/>
      <c r="C23" s="447"/>
      <c r="D23" s="419"/>
      <c r="E23" s="160" t="s">
        <v>122</v>
      </c>
      <c r="F23" s="55">
        <v>0</v>
      </c>
      <c r="G23" s="55">
        <v>0</v>
      </c>
      <c r="H23" s="55">
        <v>0</v>
      </c>
      <c r="I23" s="55">
        <v>0</v>
      </c>
      <c r="J23" s="55"/>
      <c r="K23" s="55">
        <v>0</v>
      </c>
      <c r="L23" s="55">
        <v>0</v>
      </c>
      <c r="M23" s="56">
        <f t="shared" si="0"/>
        <v>0</v>
      </c>
    </row>
    <row r="24" spans="1:13" ht="15" customHeight="1" thickBot="1" x14ac:dyDescent="0.3">
      <c r="A24" s="423"/>
      <c r="B24" s="448"/>
      <c r="C24" s="448"/>
      <c r="D24" s="420"/>
      <c r="E24" s="208" t="s">
        <v>114</v>
      </c>
      <c r="F24" s="209">
        <f t="shared" ref="F24:L24" si="4">SUM(F22:F23)</f>
        <v>0</v>
      </c>
      <c r="G24" s="209">
        <f t="shared" si="4"/>
        <v>18855931</v>
      </c>
      <c r="H24" s="209">
        <f t="shared" si="4"/>
        <v>0</v>
      </c>
      <c r="I24" s="209">
        <f t="shared" si="4"/>
        <v>0</v>
      </c>
      <c r="J24" s="209">
        <f t="shared" si="4"/>
        <v>5937479</v>
      </c>
      <c r="K24" s="209">
        <f t="shared" si="4"/>
        <v>24793410</v>
      </c>
      <c r="L24" s="209">
        <f t="shared" si="4"/>
        <v>1178497</v>
      </c>
      <c r="M24" s="210">
        <f t="shared" si="0"/>
        <v>25971907</v>
      </c>
    </row>
    <row r="25" spans="1:13" s="143" customFormat="1" ht="15" customHeight="1" x14ac:dyDescent="0.25">
      <c r="A25" s="421" t="s">
        <v>7</v>
      </c>
      <c r="B25" s="442" t="s">
        <v>173</v>
      </c>
      <c r="C25" s="447" t="s">
        <v>174</v>
      </c>
      <c r="D25" s="419">
        <v>0.95</v>
      </c>
      <c r="E25" s="162" t="s">
        <v>121</v>
      </c>
      <c r="F25" s="53">
        <v>0</v>
      </c>
      <c r="G25" s="53">
        <v>25231228</v>
      </c>
      <c r="H25" s="53">
        <v>0</v>
      </c>
      <c r="I25" s="53">
        <v>0</v>
      </c>
      <c r="J25" s="53">
        <f>4730855+2079700</f>
        <v>6810555</v>
      </c>
      <c r="K25" s="53">
        <f>SUM(F25:J25)</f>
        <v>32041783</v>
      </c>
      <c r="L25" s="53">
        <v>1576952</v>
      </c>
      <c r="M25" s="54">
        <f t="shared" si="0"/>
        <v>33618735</v>
      </c>
    </row>
    <row r="26" spans="1:13" ht="15" customHeight="1" x14ac:dyDescent="0.25">
      <c r="A26" s="422"/>
      <c r="B26" s="442"/>
      <c r="C26" s="447"/>
      <c r="D26" s="419"/>
      <c r="E26" s="160" t="s">
        <v>122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6">
        <f t="shared" si="0"/>
        <v>0</v>
      </c>
    </row>
    <row r="27" spans="1:13" ht="15" customHeight="1" thickBot="1" x14ac:dyDescent="0.3">
      <c r="A27" s="423"/>
      <c r="B27" s="449"/>
      <c r="C27" s="448"/>
      <c r="D27" s="420"/>
      <c r="E27" s="208" t="s">
        <v>114</v>
      </c>
      <c r="F27" s="209">
        <f t="shared" ref="F27:L27" si="5">SUM(F25:F26)</f>
        <v>0</v>
      </c>
      <c r="G27" s="209">
        <f t="shared" si="5"/>
        <v>25231228</v>
      </c>
      <c r="H27" s="209">
        <f t="shared" si="5"/>
        <v>0</v>
      </c>
      <c r="I27" s="209">
        <f t="shared" si="5"/>
        <v>0</v>
      </c>
      <c r="J27" s="209">
        <f t="shared" si="5"/>
        <v>6810555</v>
      </c>
      <c r="K27" s="209">
        <f t="shared" si="5"/>
        <v>32041783</v>
      </c>
      <c r="L27" s="209">
        <f t="shared" si="5"/>
        <v>1576952</v>
      </c>
      <c r="M27" s="210">
        <f t="shared" si="0"/>
        <v>33618735</v>
      </c>
    </row>
    <row r="28" spans="1:13" s="143" customFormat="1" ht="15" customHeight="1" x14ac:dyDescent="0.25">
      <c r="A28" s="421" t="s">
        <v>28</v>
      </c>
      <c r="B28" s="431" t="s">
        <v>185</v>
      </c>
      <c r="C28" s="439" t="s">
        <v>186</v>
      </c>
      <c r="D28" s="419">
        <v>0.95</v>
      </c>
      <c r="E28" s="162" t="s">
        <v>121</v>
      </c>
      <c r="F28" s="53">
        <f>3528943+7857295</f>
        <v>11386238</v>
      </c>
      <c r="G28" s="141">
        <v>18821027</v>
      </c>
      <c r="H28" s="141">
        <v>0</v>
      </c>
      <c r="I28" s="141">
        <v>0</v>
      </c>
      <c r="J28" s="141">
        <v>0</v>
      </c>
      <c r="K28" s="141">
        <f>SUM(F28:J28)</f>
        <v>30207265</v>
      </c>
      <c r="L28" s="141">
        <v>1176314</v>
      </c>
      <c r="M28" s="144">
        <f>K28+L28</f>
        <v>31383579</v>
      </c>
    </row>
    <row r="29" spans="1:13" ht="15" customHeight="1" x14ac:dyDescent="0.25">
      <c r="A29" s="422"/>
      <c r="B29" s="432"/>
      <c r="C29" s="440"/>
      <c r="D29" s="419"/>
      <c r="E29" s="160" t="s">
        <v>122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6">
        <f>K29+L29</f>
        <v>0</v>
      </c>
    </row>
    <row r="30" spans="1:13" ht="15" customHeight="1" thickBot="1" x14ac:dyDescent="0.3">
      <c r="A30" s="423"/>
      <c r="B30" s="433"/>
      <c r="C30" s="441"/>
      <c r="D30" s="420"/>
      <c r="E30" s="208" t="s">
        <v>114</v>
      </c>
      <c r="F30" s="209">
        <f t="shared" ref="F30:L30" si="6">SUM(F28:F29)</f>
        <v>11386238</v>
      </c>
      <c r="G30" s="209">
        <f t="shared" si="6"/>
        <v>18821027</v>
      </c>
      <c r="H30" s="209">
        <f t="shared" si="6"/>
        <v>0</v>
      </c>
      <c r="I30" s="209">
        <f t="shared" si="6"/>
        <v>0</v>
      </c>
      <c r="J30" s="209">
        <f t="shared" si="6"/>
        <v>0</v>
      </c>
      <c r="K30" s="209">
        <f t="shared" si="6"/>
        <v>30207265</v>
      </c>
      <c r="L30" s="209">
        <f t="shared" si="6"/>
        <v>1176314</v>
      </c>
      <c r="M30" s="210">
        <f>K30+L30</f>
        <v>31383579</v>
      </c>
    </row>
    <row r="31" spans="1:13" s="143" customFormat="1" ht="15" customHeight="1" x14ac:dyDescent="0.25">
      <c r="A31" s="421" t="s">
        <v>89</v>
      </c>
      <c r="B31" s="431" t="s">
        <v>187</v>
      </c>
      <c r="C31" s="439" t="s">
        <v>188</v>
      </c>
      <c r="D31" s="419">
        <v>0.95</v>
      </c>
      <c r="E31" s="162" t="s">
        <v>121</v>
      </c>
      <c r="F31" s="141">
        <v>0</v>
      </c>
      <c r="G31" s="141">
        <v>21089030</v>
      </c>
      <c r="H31" s="141">
        <v>0</v>
      </c>
      <c r="I31" s="141">
        <v>0</v>
      </c>
      <c r="J31" s="53">
        <f>3954193+4286716</f>
        <v>8240909</v>
      </c>
      <c r="K31" s="141">
        <f>SUM(F31:J31)</f>
        <v>29329939</v>
      </c>
      <c r="L31" s="141">
        <v>1318065</v>
      </c>
      <c r="M31" s="144">
        <f t="shared" si="0"/>
        <v>30648004</v>
      </c>
    </row>
    <row r="32" spans="1:13" ht="15" customHeight="1" x14ac:dyDescent="0.25">
      <c r="A32" s="422"/>
      <c r="B32" s="432"/>
      <c r="C32" s="440"/>
      <c r="D32" s="419"/>
      <c r="E32" s="160" t="s">
        <v>122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6">
        <f t="shared" si="0"/>
        <v>0</v>
      </c>
    </row>
    <row r="33" spans="1:13" ht="15" customHeight="1" thickBot="1" x14ac:dyDescent="0.3">
      <c r="A33" s="423"/>
      <c r="B33" s="433"/>
      <c r="C33" s="441"/>
      <c r="D33" s="420"/>
      <c r="E33" s="208" t="s">
        <v>114</v>
      </c>
      <c r="F33" s="209">
        <f t="shared" ref="F33:L33" si="7">SUM(F31:F32)</f>
        <v>0</v>
      </c>
      <c r="G33" s="209">
        <f t="shared" si="7"/>
        <v>21089030</v>
      </c>
      <c r="H33" s="209">
        <f t="shared" si="7"/>
        <v>0</v>
      </c>
      <c r="I33" s="209">
        <f t="shared" si="7"/>
        <v>0</v>
      </c>
      <c r="J33" s="209">
        <f t="shared" si="7"/>
        <v>8240909</v>
      </c>
      <c r="K33" s="209">
        <f t="shared" si="7"/>
        <v>29329939</v>
      </c>
      <c r="L33" s="209">
        <f t="shared" si="7"/>
        <v>1318065</v>
      </c>
      <c r="M33" s="210">
        <f t="shared" si="0"/>
        <v>30648004</v>
      </c>
    </row>
    <row r="34" spans="1:13" ht="15" customHeight="1" x14ac:dyDescent="0.25">
      <c r="A34" s="421" t="s">
        <v>153</v>
      </c>
      <c r="B34" s="450" t="s">
        <v>212</v>
      </c>
      <c r="C34" s="446" t="s">
        <v>213</v>
      </c>
      <c r="D34" s="419">
        <v>0.95</v>
      </c>
      <c r="E34" s="162" t="s">
        <v>121</v>
      </c>
      <c r="F34" s="141">
        <v>2044448</v>
      </c>
      <c r="G34" s="141">
        <v>10903725</v>
      </c>
      <c r="H34" s="141">
        <v>43050</v>
      </c>
      <c r="I34" s="141">
        <v>229600</v>
      </c>
      <c r="J34" s="141">
        <v>0</v>
      </c>
      <c r="K34" s="141">
        <f>SUM(F34:J34)</f>
        <v>13220823</v>
      </c>
      <c r="L34" s="141">
        <v>695833</v>
      </c>
      <c r="M34" s="144">
        <f t="shared" si="0"/>
        <v>13916656</v>
      </c>
    </row>
    <row r="35" spans="1:13" ht="15" customHeight="1" x14ac:dyDescent="0.25">
      <c r="A35" s="422"/>
      <c r="B35" s="442"/>
      <c r="C35" s="447"/>
      <c r="D35" s="419"/>
      <c r="E35" s="160" t="s">
        <v>122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6">
        <f t="shared" si="0"/>
        <v>0</v>
      </c>
    </row>
    <row r="36" spans="1:13" ht="15" customHeight="1" thickBot="1" x14ac:dyDescent="0.3">
      <c r="A36" s="423"/>
      <c r="B36" s="449"/>
      <c r="C36" s="448"/>
      <c r="D36" s="420"/>
      <c r="E36" s="208" t="s">
        <v>114</v>
      </c>
      <c r="F36" s="209">
        <f t="shared" ref="F36:L36" si="8">SUM(F34:F35)</f>
        <v>2044448</v>
      </c>
      <c r="G36" s="209">
        <f t="shared" si="8"/>
        <v>10903725</v>
      </c>
      <c r="H36" s="209">
        <f t="shared" si="8"/>
        <v>43050</v>
      </c>
      <c r="I36" s="209">
        <f t="shared" si="8"/>
        <v>229600</v>
      </c>
      <c r="J36" s="209">
        <f t="shared" si="8"/>
        <v>0</v>
      </c>
      <c r="K36" s="209">
        <f t="shared" si="8"/>
        <v>13220823</v>
      </c>
      <c r="L36" s="209">
        <f t="shared" si="8"/>
        <v>695833</v>
      </c>
      <c r="M36" s="210">
        <f t="shared" si="0"/>
        <v>13916656</v>
      </c>
    </row>
    <row r="37" spans="1:13" ht="15" customHeight="1" x14ac:dyDescent="0.25">
      <c r="A37" s="421" t="s">
        <v>154</v>
      </c>
      <c r="B37" s="482" t="s">
        <v>214</v>
      </c>
      <c r="C37" s="446" t="s">
        <v>215</v>
      </c>
      <c r="D37" s="419">
        <v>0.95</v>
      </c>
      <c r="E37" s="162" t="s">
        <v>121</v>
      </c>
      <c r="F37" s="141">
        <v>4336997</v>
      </c>
      <c r="G37" s="141">
        <v>23130652</v>
      </c>
      <c r="H37" s="141">
        <v>20431315</v>
      </c>
      <c r="I37" s="141">
        <v>108967012</v>
      </c>
      <c r="J37" s="141">
        <v>0</v>
      </c>
      <c r="K37" s="141">
        <f>SUM(F37:J37)</f>
        <v>156865976</v>
      </c>
      <c r="L37" s="141">
        <v>8256103</v>
      </c>
      <c r="M37" s="144">
        <f t="shared" si="0"/>
        <v>165122079</v>
      </c>
    </row>
    <row r="38" spans="1:13" ht="15" customHeight="1" x14ac:dyDescent="0.25">
      <c r="A38" s="422"/>
      <c r="B38" s="483"/>
      <c r="C38" s="447"/>
      <c r="D38" s="419"/>
      <c r="E38" s="160" t="s">
        <v>122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6">
        <f t="shared" si="0"/>
        <v>0</v>
      </c>
    </row>
    <row r="39" spans="1:13" ht="15" customHeight="1" thickBot="1" x14ac:dyDescent="0.3">
      <c r="A39" s="423"/>
      <c r="B39" s="484"/>
      <c r="C39" s="448"/>
      <c r="D39" s="420"/>
      <c r="E39" s="208" t="s">
        <v>114</v>
      </c>
      <c r="F39" s="209">
        <f t="shared" ref="F39:L39" si="9">SUM(F37:F38)</f>
        <v>4336997</v>
      </c>
      <c r="G39" s="209">
        <f t="shared" si="9"/>
        <v>23130652</v>
      </c>
      <c r="H39" s="209">
        <f t="shared" si="9"/>
        <v>20431315</v>
      </c>
      <c r="I39" s="209">
        <f t="shared" si="9"/>
        <v>108967012</v>
      </c>
      <c r="J39" s="209">
        <f t="shared" si="9"/>
        <v>0</v>
      </c>
      <c r="K39" s="209">
        <f t="shared" si="9"/>
        <v>156865976</v>
      </c>
      <c r="L39" s="209">
        <f t="shared" si="9"/>
        <v>8256103</v>
      </c>
      <c r="M39" s="210">
        <f t="shared" si="0"/>
        <v>165122079</v>
      </c>
    </row>
    <row r="40" spans="1:13" ht="15" customHeight="1" x14ac:dyDescent="0.25">
      <c r="A40" s="421" t="s">
        <v>149</v>
      </c>
      <c r="B40" s="443" t="s">
        <v>216</v>
      </c>
      <c r="C40" s="446" t="s">
        <v>217</v>
      </c>
      <c r="D40" s="419">
        <v>0.95</v>
      </c>
      <c r="E40" s="162" t="s">
        <v>121</v>
      </c>
      <c r="F40" s="141">
        <v>27207864</v>
      </c>
      <c r="G40" s="141">
        <v>145108607</v>
      </c>
      <c r="H40" s="141">
        <v>27976727</v>
      </c>
      <c r="I40" s="141">
        <v>149209213</v>
      </c>
      <c r="J40" s="141">
        <v>0</v>
      </c>
      <c r="K40" s="141">
        <f>SUM(F40:J40)</f>
        <v>349502411</v>
      </c>
      <c r="L40" s="141">
        <f>18394864+166861542</f>
        <v>185256406</v>
      </c>
      <c r="M40" s="144">
        <f t="shared" si="0"/>
        <v>534758817</v>
      </c>
    </row>
    <row r="41" spans="1:13" ht="15" customHeight="1" x14ac:dyDescent="0.25">
      <c r="A41" s="422"/>
      <c r="B41" s="444"/>
      <c r="C41" s="447"/>
      <c r="D41" s="419"/>
      <c r="E41" s="160" t="s">
        <v>122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6">
        <f t="shared" si="0"/>
        <v>0</v>
      </c>
    </row>
    <row r="42" spans="1:13" ht="15" customHeight="1" thickBot="1" x14ac:dyDescent="0.3">
      <c r="A42" s="423"/>
      <c r="B42" s="445"/>
      <c r="C42" s="448"/>
      <c r="D42" s="420"/>
      <c r="E42" s="208" t="s">
        <v>114</v>
      </c>
      <c r="F42" s="209">
        <f t="shared" ref="F42:L42" si="10">SUM(F40:F41)</f>
        <v>27207864</v>
      </c>
      <c r="G42" s="209">
        <f t="shared" si="10"/>
        <v>145108607</v>
      </c>
      <c r="H42" s="209">
        <f t="shared" si="10"/>
        <v>27976727</v>
      </c>
      <c r="I42" s="209">
        <f t="shared" si="10"/>
        <v>149209213</v>
      </c>
      <c r="J42" s="209">
        <f t="shared" si="10"/>
        <v>0</v>
      </c>
      <c r="K42" s="209">
        <f t="shared" si="10"/>
        <v>349502411</v>
      </c>
      <c r="L42" s="209">
        <f t="shared" si="10"/>
        <v>185256406</v>
      </c>
      <c r="M42" s="210">
        <f t="shared" si="0"/>
        <v>534758817</v>
      </c>
    </row>
    <row r="43" spans="1:13" s="143" customFormat="1" ht="15" customHeight="1" x14ac:dyDescent="0.25">
      <c r="A43" s="421" t="s">
        <v>129</v>
      </c>
      <c r="B43" s="442" t="s">
        <v>157</v>
      </c>
      <c r="C43" s="439">
        <v>101118780</v>
      </c>
      <c r="D43" s="419">
        <v>0.754</v>
      </c>
      <c r="E43" s="162" t="s">
        <v>121</v>
      </c>
      <c r="F43" s="141">
        <v>0</v>
      </c>
      <c r="G43" s="141">
        <v>12464000</v>
      </c>
      <c r="H43" s="141">
        <v>0</v>
      </c>
      <c r="I43" s="141">
        <v>0</v>
      </c>
      <c r="J43" s="141">
        <v>0</v>
      </c>
      <c r="K43" s="141">
        <f>SUM(F43:J43)</f>
        <v>12464000</v>
      </c>
      <c r="L43" s="53">
        <v>4768300</v>
      </c>
      <c r="M43" s="54">
        <f>K43+L43</f>
        <v>17232300</v>
      </c>
    </row>
    <row r="44" spans="1:13" ht="15" customHeight="1" x14ac:dyDescent="0.25">
      <c r="A44" s="422"/>
      <c r="B44" s="442"/>
      <c r="C44" s="440"/>
      <c r="D44" s="419"/>
      <c r="E44" s="160" t="s">
        <v>122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6">
        <f>K44+L44</f>
        <v>0</v>
      </c>
    </row>
    <row r="45" spans="1:13" ht="15" customHeight="1" thickBot="1" x14ac:dyDescent="0.3">
      <c r="A45" s="423"/>
      <c r="B45" s="449"/>
      <c r="C45" s="441"/>
      <c r="D45" s="420"/>
      <c r="E45" s="208" t="s">
        <v>114</v>
      </c>
      <c r="F45" s="209">
        <f t="shared" ref="F45:L45" si="11">SUM(F43:F44)</f>
        <v>0</v>
      </c>
      <c r="G45" s="209">
        <f t="shared" si="11"/>
        <v>12464000</v>
      </c>
      <c r="H45" s="209">
        <f t="shared" si="11"/>
        <v>0</v>
      </c>
      <c r="I45" s="209">
        <f t="shared" si="11"/>
        <v>0</v>
      </c>
      <c r="J45" s="209">
        <f t="shared" si="11"/>
        <v>0</v>
      </c>
      <c r="K45" s="209">
        <f t="shared" si="11"/>
        <v>12464000</v>
      </c>
      <c r="L45" s="209">
        <f t="shared" si="11"/>
        <v>4768300</v>
      </c>
      <c r="M45" s="210">
        <f>K45+L45</f>
        <v>17232300</v>
      </c>
    </row>
    <row r="46" spans="1:13" ht="15" customHeight="1" x14ac:dyDescent="0.25">
      <c r="A46" s="421" t="s">
        <v>130</v>
      </c>
      <c r="B46" s="431" t="s">
        <v>160</v>
      </c>
      <c r="C46" s="434" t="s">
        <v>161</v>
      </c>
      <c r="D46" s="418">
        <v>1</v>
      </c>
      <c r="E46" s="159" t="s">
        <v>121</v>
      </c>
      <c r="F46" s="53">
        <v>45211738</v>
      </c>
      <c r="G46" s="53">
        <v>0</v>
      </c>
      <c r="H46" s="53">
        <v>0</v>
      </c>
      <c r="I46" s="53">
        <v>0</v>
      </c>
      <c r="J46" s="53">
        <v>656388283</v>
      </c>
      <c r="K46" s="53">
        <f>SUM(F46:J46)</f>
        <v>701600021</v>
      </c>
      <c r="L46" s="53">
        <v>0</v>
      </c>
      <c r="M46" s="54">
        <f t="shared" ref="M46:M63" si="12">K46+L46</f>
        <v>701600021</v>
      </c>
    </row>
    <row r="47" spans="1:13" ht="15" customHeight="1" x14ac:dyDescent="0.25">
      <c r="A47" s="422"/>
      <c r="B47" s="432"/>
      <c r="C47" s="435"/>
      <c r="D47" s="419"/>
      <c r="E47" s="160" t="s">
        <v>122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8">
        <f>SUM(F47:J47)</f>
        <v>0</v>
      </c>
      <c r="L47" s="55">
        <v>0</v>
      </c>
      <c r="M47" s="56">
        <f t="shared" si="12"/>
        <v>0</v>
      </c>
    </row>
    <row r="48" spans="1:13" ht="15" customHeight="1" thickBot="1" x14ac:dyDescent="0.3">
      <c r="A48" s="423"/>
      <c r="B48" s="433"/>
      <c r="C48" s="436"/>
      <c r="D48" s="420"/>
      <c r="E48" s="208" t="s">
        <v>114</v>
      </c>
      <c r="F48" s="209">
        <f t="shared" ref="F48:L48" si="13">SUM(F46:F47)</f>
        <v>45211738</v>
      </c>
      <c r="G48" s="209">
        <f t="shared" si="13"/>
        <v>0</v>
      </c>
      <c r="H48" s="209">
        <f t="shared" si="13"/>
        <v>0</v>
      </c>
      <c r="I48" s="209">
        <f t="shared" si="13"/>
        <v>0</v>
      </c>
      <c r="J48" s="209">
        <f t="shared" si="13"/>
        <v>656388283</v>
      </c>
      <c r="K48" s="209">
        <f t="shared" si="13"/>
        <v>701600021</v>
      </c>
      <c r="L48" s="209">
        <f t="shared" si="13"/>
        <v>0</v>
      </c>
      <c r="M48" s="210">
        <f t="shared" si="12"/>
        <v>701600021</v>
      </c>
    </row>
    <row r="49" spans="1:13" ht="15" customHeight="1" x14ac:dyDescent="0.25">
      <c r="A49" s="421" t="s">
        <v>131</v>
      </c>
      <c r="B49" s="450" t="s">
        <v>192</v>
      </c>
      <c r="C49" s="427" t="s">
        <v>193</v>
      </c>
      <c r="D49" s="418">
        <v>1</v>
      </c>
      <c r="E49" s="163" t="s">
        <v>121</v>
      </c>
      <c r="F49" s="53">
        <v>0</v>
      </c>
      <c r="G49" s="53">
        <v>0</v>
      </c>
      <c r="H49" s="53">
        <v>0</v>
      </c>
      <c r="I49" s="53">
        <v>0</v>
      </c>
      <c r="J49" s="53">
        <v>1031037130</v>
      </c>
      <c r="K49" s="53">
        <f>SUM(F49:J49)</f>
        <v>1031037130</v>
      </c>
      <c r="L49" s="53">
        <v>0</v>
      </c>
      <c r="M49" s="54">
        <f t="shared" si="12"/>
        <v>1031037130</v>
      </c>
    </row>
    <row r="50" spans="1:13" ht="15" customHeight="1" x14ac:dyDescent="0.25">
      <c r="A50" s="422"/>
      <c r="B50" s="442"/>
      <c r="C50" s="428"/>
      <c r="D50" s="419"/>
      <c r="E50" s="160" t="s">
        <v>122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8">
        <f>SUM(F50:J50)</f>
        <v>0</v>
      </c>
      <c r="L50" s="55">
        <v>0</v>
      </c>
      <c r="M50" s="56">
        <f t="shared" si="12"/>
        <v>0</v>
      </c>
    </row>
    <row r="51" spans="1:13" ht="15" customHeight="1" thickBot="1" x14ac:dyDescent="0.3">
      <c r="A51" s="423"/>
      <c r="B51" s="449"/>
      <c r="C51" s="429"/>
      <c r="D51" s="420"/>
      <c r="E51" s="208" t="s">
        <v>114</v>
      </c>
      <c r="F51" s="209">
        <f t="shared" ref="F51:L51" si="14">SUM(F49:F50)</f>
        <v>0</v>
      </c>
      <c r="G51" s="209">
        <f t="shared" si="14"/>
        <v>0</v>
      </c>
      <c r="H51" s="209">
        <f t="shared" si="14"/>
        <v>0</v>
      </c>
      <c r="I51" s="209">
        <f t="shared" si="14"/>
        <v>0</v>
      </c>
      <c r="J51" s="209">
        <f t="shared" si="14"/>
        <v>1031037130</v>
      </c>
      <c r="K51" s="209">
        <f t="shared" si="14"/>
        <v>1031037130</v>
      </c>
      <c r="L51" s="209">
        <f t="shared" si="14"/>
        <v>0</v>
      </c>
      <c r="M51" s="210">
        <f t="shared" si="12"/>
        <v>1031037130</v>
      </c>
    </row>
    <row r="52" spans="1:13" ht="15" customHeight="1" x14ac:dyDescent="0.25">
      <c r="A52" s="421" t="s">
        <v>132</v>
      </c>
      <c r="B52" s="560" t="s">
        <v>218</v>
      </c>
      <c r="C52" s="427" t="s">
        <v>219</v>
      </c>
      <c r="D52" s="418">
        <v>1</v>
      </c>
      <c r="E52" s="159" t="s">
        <v>121</v>
      </c>
      <c r="F52" s="53">
        <v>89400000</v>
      </c>
      <c r="G52" s="53">
        <v>0</v>
      </c>
      <c r="H52" s="53">
        <v>6000000</v>
      </c>
      <c r="I52" s="53">
        <v>0</v>
      </c>
      <c r="J52" s="53">
        <v>0</v>
      </c>
      <c r="K52" s="53">
        <f>SUM(F52:J52)</f>
        <v>95400000</v>
      </c>
      <c r="L52" s="53">
        <v>0</v>
      </c>
      <c r="M52" s="54">
        <f t="shared" si="12"/>
        <v>95400000</v>
      </c>
    </row>
    <row r="53" spans="1:13" ht="15" customHeight="1" x14ac:dyDescent="0.25">
      <c r="A53" s="422"/>
      <c r="B53" s="561"/>
      <c r="C53" s="428"/>
      <c r="D53" s="419"/>
      <c r="E53" s="160" t="s">
        <v>122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8">
        <f>SUM(F53:J53)</f>
        <v>0</v>
      </c>
      <c r="L53" s="55">
        <v>0</v>
      </c>
      <c r="M53" s="56">
        <f t="shared" si="12"/>
        <v>0</v>
      </c>
    </row>
    <row r="54" spans="1:13" ht="15" customHeight="1" thickBot="1" x14ac:dyDescent="0.3">
      <c r="A54" s="423"/>
      <c r="B54" s="562"/>
      <c r="C54" s="429"/>
      <c r="D54" s="420"/>
      <c r="E54" s="208" t="s">
        <v>114</v>
      </c>
      <c r="F54" s="209">
        <f t="shared" ref="F54:L54" si="15">SUM(F52:F53)</f>
        <v>89400000</v>
      </c>
      <c r="G54" s="209">
        <f t="shared" si="15"/>
        <v>0</v>
      </c>
      <c r="H54" s="209">
        <f t="shared" si="15"/>
        <v>6000000</v>
      </c>
      <c r="I54" s="209">
        <f t="shared" si="15"/>
        <v>0</v>
      </c>
      <c r="J54" s="209">
        <f t="shared" si="15"/>
        <v>0</v>
      </c>
      <c r="K54" s="209">
        <f t="shared" si="15"/>
        <v>95400000</v>
      </c>
      <c r="L54" s="209">
        <f t="shared" si="15"/>
        <v>0</v>
      </c>
      <c r="M54" s="210">
        <f t="shared" si="12"/>
        <v>95400000</v>
      </c>
    </row>
    <row r="55" spans="1:13" ht="15" customHeight="1" x14ac:dyDescent="0.25">
      <c r="A55" s="421" t="s">
        <v>133</v>
      </c>
      <c r="B55" s="424" t="s">
        <v>159</v>
      </c>
      <c r="C55" s="427" t="s">
        <v>158</v>
      </c>
      <c r="D55" s="418">
        <v>1</v>
      </c>
      <c r="E55" s="159" t="s">
        <v>121</v>
      </c>
      <c r="F55" s="141">
        <v>0</v>
      </c>
      <c r="G55" s="53">
        <v>0</v>
      </c>
      <c r="H55" s="53">
        <v>0</v>
      </c>
      <c r="I55" s="53">
        <v>0</v>
      </c>
      <c r="J55" s="141">
        <v>1131539</v>
      </c>
      <c r="K55" s="53">
        <f>SUM(F55:J55)</f>
        <v>1131539</v>
      </c>
      <c r="L55" s="53">
        <v>0</v>
      </c>
      <c r="M55" s="54">
        <f t="shared" si="12"/>
        <v>1131539</v>
      </c>
    </row>
    <row r="56" spans="1:13" ht="15" customHeight="1" x14ac:dyDescent="0.25">
      <c r="A56" s="422"/>
      <c r="B56" s="425"/>
      <c r="C56" s="428"/>
      <c r="D56" s="419"/>
      <c r="E56" s="160" t="s">
        <v>122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6">
        <f t="shared" si="12"/>
        <v>0</v>
      </c>
    </row>
    <row r="57" spans="1:13" ht="15" customHeight="1" thickBot="1" x14ac:dyDescent="0.3">
      <c r="A57" s="423"/>
      <c r="B57" s="426"/>
      <c r="C57" s="429"/>
      <c r="D57" s="420"/>
      <c r="E57" s="208" t="s">
        <v>114</v>
      </c>
      <c r="F57" s="209">
        <f t="shared" ref="F57:L57" si="16">SUM(F55:F56)</f>
        <v>0</v>
      </c>
      <c r="G57" s="209">
        <f t="shared" si="16"/>
        <v>0</v>
      </c>
      <c r="H57" s="209">
        <f t="shared" si="16"/>
        <v>0</v>
      </c>
      <c r="I57" s="209">
        <f t="shared" si="16"/>
        <v>0</v>
      </c>
      <c r="J57" s="209">
        <f t="shared" si="16"/>
        <v>1131539</v>
      </c>
      <c r="K57" s="209">
        <f t="shared" si="16"/>
        <v>1131539</v>
      </c>
      <c r="L57" s="209">
        <f t="shared" si="16"/>
        <v>0</v>
      </c>
      <c r="M57" s="210">
        <f t="shared" si="12"/>
        <v>1131539</v>
      </c>
    </row>
    <row r="58" spans="1:13" ht="15" customHeight="1" x14ac:dyDescent="0.25">
      <c r="A58" s="421" t="s">
        <v>138</v>
      </c>
      <c r="B58" s="425" t="s">
        <v>146</v>
      </c>
      <c r="C58" s="437" t="s">
        <v>145</v>
      </c>
      <c r="D58" s="419">
        <v>1</v>
      </c>
      <c r="E58" s="163" t="s">
        <v>121</v>
      </c>
      <c r="F58" s="58">
        <v>0</v>
      </c>
      <c r="G58" s="58">
        <v>0</v>
      </c>
      <c r="H58" s="58">
        <v>0</v>
      </c>
      <c r="I58" s="58">
        <v>0</v>
      </c>
      <c r="J58" s="58">
        <v>191995</v>
      </c>
      <c r="K58" s="58">
        <f>SUM(F58:J58)</f>
        <v>191995</v>
      </c>
      <c r="L58" s="58">
        <v>0</v>
      </c>
      <c r="M58" s="57">
        <f t="shared" si="12"/>
        <v>191995</v>
      </c>
    </row>
    <row r="59" spans="1:13" ht="15" customHeight="1" x14ac:dyDescent="0.25">
      <c r="A59" s="422"/>
      <c r="B59" s="425"/>
      <c r="C59" s="437"/>
      <c r="D59" s="419"/>
      <c r="E59" s="160" t="s">
        <v>122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6">
        <f t="shared" si="12"/>
        <v>0</v>
      </c>
    </row>
    <row r="60" spans="1:13" ht="15" customHeight="1" thickBot="1" x14ac:dyDescent="0.3">
      <c r="A60" s="423"/>
      <c r="B60" s="426"/>
      <c r="C60" s="438"/>
      <c r="D60" s="420"/>
      <c r="E60" s="208" t="s">
        <v>114</v>
      </c>
      <c r="F60" s="209">
        <f t="shared" ref="F60:L60" si="17">SUM(F58:F59)</f>
        <v>0</v>
      </c>
      <c r="G60" s="209">
        <f t="shared" si="17"/>
        <v>0</v>
      </c>
      <c r="H60" s="209">
        <f t="shared" si="17"/>
        <v>0</v>
      </c>
      <c r="I60" s="209">
        <f t="shared" si="17"/>
        <v>0</v>
      </c>
      <c r="J60" s="209">
        <f t="shared" si="17"/>
        <v>191995</v>
      </c>
      <c r="K60" s="209">
        <f t="shared" si="17"/>
        <v>191995</v>
      </c>
      <c r="L60" s="209">
        <f t="shared" si="17"/>
        <v>0</v>
      </c>
      <c r="M60" s="210">
        <f t="shared" si="12"/>
        <v>191995</v>
      </c>
    </row>
    <row r="61" spans="1:13" ht="15" customHeight="1" x14ac:dyDescent="0.25">
      <c r="A61" s="421" t="s">
        <v>139</v>
      </c>
      <c r="B61" s="442" t="s">
        <v>143</v>
      </c>
      <c r="C61" s="437" t="s">
        <v>144</v>
      </c>
      <c r="D61" s="419">
        <v>1</v>
      </c>
      <c r="E61" s="159" t="s">
        <v>121</v>
      </c>
      <c r="F61" s="53">
        <v>0</v>
      </c>
      <c r="G61" s="53">
        <v>0</v>
      </c>
      <c r="H61" s="53">
        <v>0</v>
      </c>
      <c r="I61" s="53">
        <v>0</v>
      </c>
      <c r="J61" s="53">
        <v>283673</v>
      </c>
      <c r="K61" s="53">
        <f>SUM(F61:J61)</f>
        <v>283673</v>
      </c>
      <c r="L61" s="53">
        <v>0</v>
      </c>
      <c r="M61" s="54">
        <f t="shared" si="12"/>
        <v>283673</v>
      </c>
    </row>
    <row r="62" spans="1:13" ht="15" customHeight="1" x14ac:dyDescent="0.25">
      <c r="A62" s="422"/>
      <c r="B62" s="442"/>
      <c r="C62" s="437"/>
      <c r="D62" s="419"/>
      <c r="E62" s="160" t="s">
        <v>122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6">
        <f t="shared" si="12"/>
        <v>0</v>
      </c>
    </row>
    <row r="63" spans="1:13" ht="15" customHeight="1" thickBot="1" x14ac:dyDescent="0.3">
      <c r="A63" s="423"/>
      <c r="B63" s="442"/>
      <c r="C63" s="437"/>
      <c r="D63" s="419"/>
      <c r="E63" s="211" t="s">
        <v>114</v>
      </c>
      <c r="F63" s="212">
        <f t="shared" ref="F63:L63" si="18">SUM(F61:F62)</f>
        <v>0</v>
      </c>
      <c r="G63" s="212">
        <f t="shared" si="18"/>
        <v>0</v>
      </c>
      <c r="H63" s="212">
        <f t="shared" si="18"/>
        <v>0</v>
      </c>
      <c r="I63" s="212">
        <f t="shared" si="18"/>
        <v>0</v>
      </c>
      <c r="J63" s="212">
        <f t="shared" si="18"/>
        <v>283673</v>
      </c>
      <c r="K63" s="212">
        <f t="shared" si="18"/>
        <v>283673</v>
      </c>
      <c r="L63" s="212">
        <f t="shared" si="18"/>
        <v>0</v>
      </c>
      <c r="M63" s="213">
        <f t="shared" si="12"/>
        <v>283673</v>
      </c>
    </row>
    <row r="64" spans="1:13" ht="15" customHeight="1" x14ac:dyDescent="0.25">
      <c r="A64" s="409" t="s">
        <v>123</v>
      </c>
      <c r="B64" s="410"/>
      <c r="C64" s="410"/>
      <c r="D64" s="411"/>
      <c r="E64" s="145" t="s">
        <v>121</v>
      </c>
      <c r="F64" s="87">
        <f>F13+F16+F19+F22+F25+F43+F49+F52+F55+F58+F61+F28+F31+F46+F34+F37+F40</f>
        <v>179587285</v>
      </c>
      <c r="G64" s="87">
        <f t="shared" ref="G64:M65" si="19">G13+G16+G19+G22+G25+G43+G49+G52+G55+G58+G61+G28+G31+G46+G34+G37+G40</f>
        <v>335169360</v>
      </c>
      <c r="H64" s="87">
        <f t="shared" si="19"/>
        <v>54451092</v>
      </c>
      <c r="I64" s="87">
        <f t="shared" si="19"/>
        <v>258405825</v>
      </c>
      <c r="J64" s="87">
        <f t="shared" si="19"/>
        <v>1730348548</v>
      </c>
      <c r="K64" s="87">
        <f t="shared" si="19"/>
        <v>2557962110</v>
      </c>
      <c r="L64" s="87">
        <f t="shared" si="19"/>
        <v>207949293</v>
      </c>
      <c r="M64" s="146">
        <f t="shared" si="19"/>
        <v>2765911403</v>
      </c>
    </row>
    <row r="65" spans="1:13" ht="15" customHeight="1" x14ac:dyDescent="0.25">
      <c r="A65" s="412"/>
      <c r="B65" s="413"/>
      <c r="C65" s="413"/>
      <c r="D65" s="414"/>
      <c r="E65" s="147" t="s">
        <v>122</v>
      </c>
      <c r="F65" s="88">
        <f>F14+F17+F20+F23+F26+F44+F50+F53+F56+F59+F62+F29+F32+F47+F35+F38+F41</f>
        <v>0</v>
      </c>
      <c r="G65" s="88">
        <f t="shared" si="19"/>
        <v>0</v>
      </c>
      <c r="H65" s="88">
        <f t="shared" si="19"/>
        <v>0</v>
      </c>
      <c r="I65" s="88">
        <f t="shared" si="19"/>
        <v>0</v>
      </c>
      <c r="J65" s="88">
        <f t="shared" si="19"/>
        <v>0</v>
      </c>
      <c r="K65" s="88">
        <f t="shared" si="19"/>
        <v>0</v>
      </c>
      <c r="L65" s="88">
        <f t="shared" si="19"/>
        <v>0</v>
      </c>
      <c r="M65" s="148">
        <f t="shared" si="19"/>
        <v>0</v>
      </c>
    </row>
    <row r="66" spans="1:13" ht="15" customHeight="1" thickBot="1" x14ac:dyDescent="0.3">
      <c r="A66" s="415"/>
      <c r="B66" s="416"/>
      <c r="C66" s="416"/>
      <c r="D66" s="417"/>
      <c r="E66" s="84" t="s">
        <v>114</v>
      </c>
      <c r="F66" s="89">
        <f t="shared" ref="F66:M66" si="20">SUM(F64:F65)</f>
        <v>179587285</v>
      </c>
      <c r="G66" s="89">
        <f t="shared" ref="G66:H66" si="21">SUM(G64:G65)</f>
        <v>335169360</v>
      </c>
      <c r="H66" s="89">
        <f t="shared" si="21"/>
        <v>54451092</v>
      </c>
      <c r="I66" s="89">
        <f t="shared" si="20"/>
        <v>258405825</v>
      </c>
      <c r="J66" s="89">
        <f t="shared" si="20"/>
        <v>1730348548</v>
      </c>
      <c r="K66" s="89">
        <f t="shared" si="20"/>
        <v>2557962110</v>
      </c>
      <c r="L66" s="89">
        <f t="shared" si="20"/>
        <v>207949293</v>
      </c>
      <c r="M66" s="90">
        <f t="shared" si="20"/>
        <v>2765911403</v>
      </c>
    </row>
    <row r="67" spans="1:13" ht="15" customHeight="1" x14ac:dyDescent="0.25">
      <c r="A67" s="430"/>
      <c r="B67" s="430"/>
      <c r="C67" s="430"/>
      <c r="D67" s="430"/>
      <c r="E67" s="430"/>
      <c r="F67" s="430"/>
      <c r="G67" s="430"/>
      <c r="H67" s="430"/>
      <c r="I67" s="430"/>
    </row>
  </sheetData>
  <mergeCells count="91">
    <mergeCell ref="D25:D27"/>
    <mergeCell ref="A37:A39"/>
    <mergeCell ref="B37:B39"/>
    <mergeCell ref="C37:C39"/>
    <mergeCell ref="D37:D39"/>
    <mergeCell ref="A34:A36"/>
    <mergeCell ref="B34:B36"/>
    <mergeCell ref="C34:C36"/>
    <mergeCell ref="D34:D36"/>
    <mergeCell ref="A25:A27"/>
    <mergeCell ref="B25:B27"/>
    <mergeCell ref="C25:C27"/>
    <mergeCell ref="A28:A30"/>
    <mergeCell ref="B28:B30"/>
    <mergeCell ref="C28:C30"/>
    <mergeCell ref="D28:D30"/>
    <mergeCell ref="E1:M1"/>
    <mergeCell ref="A7:M7"/>
    <mergeCell ref="D10:D12"/>
    <mergeCell ref="E10:E12"/>
    <mergeCell ref="F10:K10"/>
    <mergeCell ref="F11:G11"/>
    <mergeCell ref="H11:I11"/>
    <mergeCell ref="J11:J12"/>
    <mergeCell ref="K11:K12"/>
    <mergeCell ref="A9:A12"/>
    <mergeCell ref="B9:D9"/>
    <mergeCell ref="E9:K9"/>
    <mergeCell ref="L9:L12"/>
    <mergeCell ref="M9:M12"/>
    <mergeCell ref="B10:B12"/>
    <mergeCell ref="C10:C12"/>
    <mergeCell ref="C16:C18"/>
    <mergeCell ref="D16:D18"/>
    <mergeCell ref="D13:D15"/>
    <mergeCell ref="A16:A18"/>
    <mergeCell ref="B16:B18"/>
    <mergeCell ref="A13:A15"/>
    <mergeCell ref="B13:B15"/>
    <mergeCell ref="C13:C15"/>
    <mergeCell ref="E2:M2"/>
    <mergeCell ref="A5:M5"/>
    <mergeCell ref="A6:M6"/>
    <mergeCell ref="A4:M4"/>
    <mergeCell ref="L8:M8"/>
    <mergeCell ref="A22:A24"/>
    <mergeCell ref="B22:B24"/>
    <mergeCell ref="C22:C24"/>
    <mergeCell ref="D22:D24"/>
    <mergeCell ref="A19:A21"/>
    <mergeCell ref="B19:B21"/>
    <mergeCell ref="C19:C21"/>
    <mergeCell ref="D19:D21"/>
    <mergeCell ref="A31:A33"/>
    <mergeCell ref="B31:B33"/>
    <mergeCell ref="C31:C33"/>
    <mergeCell ref="D31:D33"/>
    <mergeCell ref="A61:A63"/>
    <mergeCell ref="B61:B63"/>
    <mergeCell ref="A40:A42"/>
    <mergeCell ref="B40:B42"/>
    <mergeCell ref="C40:C42"/>
    <mergeCell ref="D40:D42"/>
    <mergeCell ref="A43:A45"/>
    <mergeCell ref="B43:B45"/>
    <mergeCell ref="C43:C45"/>
    <mergeCell ref="D43:D45"/>
    <mergeCell ref="A46:A48"/>
    <mergeCell ref="B49:B51"/>
    <mergeCell ref="A67:I67"/>
    <mergeCell ref="B46:B48"/>
    <mergeCell ref="C46:C48"/>
    <mergeCell ref="D46:D48"/>
    <mergeCell ref="A49:A51"/>
    <mergeCell ref="C61:C63"/>
    <mergeCell ref="D61:D63"/>
    <mergeCell ref="C49:C51"/>
    <mergeCell ref="D49:D51"/>
    <mergeCell ref="A52:A54"/>
    <mergeCell ref="B52:B54"/>
    <mergeCell ref="C52:C54"/>
    <mergeCell ref="A58:A60"/>
    <mergeCell ref="B58:B60"/>
    <mergeCell ref="C58:C60"/>
    <mergeCell ref="D58:D60"/>
    <mergeCell ref="A64:D66"/>
    <mergeCell ref="D52:D54"/>
    <mergeCell ref="A55:A57"/>
    <mergeCell ref="B55:B57"/>
    <mergeCell ref="C55:C57"/>
    <mergeCell ref="D55:D57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rowBreaks count="1" manualBreakCount="1">
    <brk id="45" max="12" man="1"/>
  </rowBreaks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65FF-D671-47BD-A755-7D5F20B2D621}">
  <sheetPr>
    <tabColor theme="6" tint="0.59999389629810485"/>
  </sheetPr>
  <dimension ref="A1:M69"/>
  <sheetViews>
    <sheetView zoomScaleNormal="100" workbookViewId="0">
      <pane xSplit="4" ySplit="11" topLeftCell="E33" activePane="bottomRight" state="frozen"/>
      <selection activeCell="M22" sqref="M22"/>
      <selection pane="topRight" activeCell="M22" sqref="M22"/>
      <selection pane="bottomLeft" activeCell="M22" sqref="M22"/>
      <selection pane="bottomRight" activeCell="B51" sqref="B51:B53"/>
    </sheetView>
  </sheetViews>
  <sheetFormatPr defaultRowHeight="15.75" x14ac:dyDescent="0.25"/>
  <cols>
    <col min="1" max="1" width="4.5703125" style="69" customWidth="1"/>
    <col min="2" max="2" width="20.140625" style="69" customWidth="1"/>
    <col min="3" max="3" width="29.140625" style="69" customWidth="1"/>
    <col min="4" max="4" width="13.28515625" style="69" customWidth="1"/>
    <col min="5" max="5" width="13.42578125" style="69" customWidth="1"/>
    <col min="6" max="6" width="13.7109375" style="69" customWidth="1"/>
    <col min="7" max="7" width="11.7109375" style="69" customWidth="1"/>
    <col min="8" max="8" width="13.7109375" style="69" customWidth="1"/>
    <col min="9" max="9" width="13.140625" style="69" customWidth="1"/>
    <col min="10" max="10" width="13.28515625" style="69" customWidth="1"/>
    <col min="11" max="11" width="14.7109375" style="69" customWidth="1"/>
    <col min="12" max="12" width="9.140625" style="69"/>
    <col min="13" max="13" width="10.140625" style="69" bestFit="1" customWidth="1"/>
    <col min="14" max="16384" width="9.140625" style="69"/>
  </cols>
  <sheetData>
    <row r="1" spans="1:11" ht="18" customHeight="1" x14ac:dyDescent="0.25">
      <c r="A1" s="4"/>
      <c r="B1" s="4"/>
      <c r="C1" s="4"/>
      <c r="D1" s="4"/>
      <c r="E1" s="381" t="s">
        <v>197</v>
      </c>
      <c r="F1" s="381"/>
      <c r="G1" s="381"/>
      <c r="H1" s="381"/>
      <c r="I1" s="381"/>
      <c r="J1" s="381"/>
      <c r="K1" s="381"/>
    </row>
    <row r="2" spans="1:11" ht="18" customHeight="1" x14ac:dyDescent="0.25">
      <c r="A2" s="4"/>
      <c r="B2" s="4"/>
      <c r="C2" s="4"/>
      <c r="D2" s="4"/>
      <c r="E2" s="381" t="s">
        <v>198</v>
      </c>
      <c r="F2" s="381"/>
      <c r="G2" s="381"/>
      <c r="H2" s="381"/>
      <c r="I2" s="381"/>
      <c r="J2" s="381"/>
      <c r="K2" s="381"/>
    </row>
    <row r="3" spans="1:11" ht="16.5" customHeight="1" x14ac:dyDescent="0.25">
      <c r="A3" s="74"/>
      <c r="B3" s="74"/>
      <c r="C3" s="74"/>
      <c r="D3" s="74"/>
      <c r="E3" s="74"/>
      <c r="F3" s="46"/>
      <c r="G3" s="46"/>
      <c r="H3" s="43"/>
      <c r="I3" s="46"/>
      <c r="J3" s="46"/>
      <c r="K3" s="46"/>
    </row>
    <row r="4" spans="1:11" ht="16.5" customHeight="1" x14ac:dyDescent="0.25">
      <c r="A4" s="372" t="s">
        <v>162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</row>
    <row r="5" spans="1:11" ht="15.95" customHeight="1" x14ac:dyDescent="0.25">
      <c r="A5" s="407" t="s">
        <v>137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</row>
    <row r="6" spans="1:11" s="67" customFormat="1" ht="15.95" customHeight="1" x14ac:dyDescent="0.25">
      <c r="A6" s="372" t="s">
        <v>194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</row>
    <row r="7" spans="1:11" s="67" customFormat="1" ht="15.95" customHeight="1" x14ac:dyDescent="0.25">
      <c r="A7" s="372" t="s">
        <v>246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</row>
    <row r="8" spans="1:11" ht="16.5" thickBot="1" x14ac:dyDescent="0.3">
      <c r="J8" s="453" t="s">
        <v>155</v>
      </c>
      <c r="K8" s="453"/>
    </row>
    <row r="9" spans="1:11" ht="15.95" customHeight="1" x14ac:dyDescent="0.25">
      <c r="A9" s="469" t="s">
        <v>9</v>
      </c>
      <c r="B9" s="472" t="s">
        <v>105</v>
      </c>
      <c r="C9" s="473"/>
      <c r="D9" s="474"/>
      <c r="E9" s="475" t="s">
        <v>124</v>
      </c>
      <c r="F9" s="476"/>
      <c r="G9" s="476"/>
      <c r="H9" s="476"/>
      <c r="I9" s="476"/>
      <c r="J9" s="476"/>
      <c r="K9" s="492"/>
    </row>
    <row r="10" spans="1:11" ht="15.95" customHeight="1" x14ac:dyDescent="0.25">
      <c r="A10" s="470"/>
      <c r="B10" s="493" t="s">
        <v>109</v>
      </c>
      <c r="C10" s="457" t="s">
        <v>110</v>
      </c>
      <c r="D10" s="457" t="s">
        <v>134</v>
      </c>
      <c r="E10" s="457" t="s">
        <v>118</v>
      </c>
      <c r="F10" s="460" t="s">
        <v>119</v>
      </c>
      <c r="G10" s="461"/>
      <c r="H10" s="461"/>
      <c r="I10" s="461"/>
      <c r="J10" s="461"/>
      <c r="K10" s="485"/>
    </row>
    <row r="11" spans="1:11" ht="24.75" customHeight="1" thickBot="1" x14ac:dyDescent="0.3">
      <c r="A11" s="471"/>
      <c r="B11" s="494"/>
      <c r="C11" s="459"/>
      <c r="D11" s="459"/>
      <c r="E11" s="459"/>
      <c r="F11" s="91" t="s">
        <v>125</v>
      </c>
      <c r="G11" s="91" t="s">
        <v>126</v>
      </c>
      <c r="H11" s="91" t="s">
        <v>127</v>
      </c>
      <c r="I11" s="92" t="s">
        <v>128</v>
      </c>
      <c r="J11" s="233" t="s">
        <v>220</v>
      </c>
      <c r="K11" s="93" t="s">
        <v>114</v>
      </c>
    </row>
    <row r="12" spans="1:11" ht="15" customHeight="1" x14ac:dyDescent="0.25">
      <c r="A12" s="486" t="s">
        <v>1</v>
      </c>
      <c r="B12" s="439" t="s">
        <v>165</v>
      </c>
      <c r="C12" s="439" t="s">
        <v>166</v>
      </c>
      <c r="D12" s="489">
        <v>0.95</v>
      </c>
      <c r="E12" s="234" t="s">
        <v>121</v>
      </c>
      <c r="F12" s="53">
        <v>1500000</v>
      </c>
      <c r="G12" s="53">
        <v>205000</v>
      </c>
      <c r="H12" s="53">
        <v>6407068</v>
      </c>
      <c r="I12" s="53">
        <v>3293729</v>
      </c>
      <c r="J12" s="60">
        <v>0</v>
      </c>
      <c r="K12" s="54">
        <f>F12+G12+H12+I12+J12</f>
        <v>11405797</v>
      </c>
    </row>
    <row r="13" spans="1:11" ht="15" customHeight="1" x14ac:dyDescent="0.25">
      <c r="A13" s="487"/>
      <c r="B13" s="440"/>
      <c r="C13" s="440"/>
      <c r="D13" s="490"/>
      <c r="E13" s="140" t="s">
        <v>122</v>
      </c>
      <c r="F13" s="61">
        <v>11441641</v>
      </c>
      <c r="G13" s="61">
        <v>1545972</v>
      </c>
      <c r="H13" s="61">
        <v>200000</v>
      </c>
      <c r="I13" s="61">
        <v>0</v>
      </c>
      <c r="J13" s="59">
        <v>0</v>
      </c>
      <c r="K13" s="57">
        <f>F13+G13+H13+I13+J13</f>
        <v>13187613</v>
      </c>
    </row>
    <row r="14" spans="1:11" ht="15" customHeight="1" thickBot="1" x14ac:dyDescent="0.3">
      <c r="A14" s="488"/>
      <c r="B14" s="441"/>
      <c r="C14" s="441"/>
      <c r="D14" s="491"/>
      <c r="E14" s="235" t="s">
        <v>114</v>
      </c>
      <c r="F14" s="209">
        <f t="shared" ref="F14:K14" si="0">SUM(F12:F13)</f>
        <v>12941641</v>
      </c>
      <c r="G14" s="209">
        <f t="shared" si="0"/>
        <v>1750972</v>
      </c>
      <c r="H14" s="209">
        <f t="shared" si="0"/>
        <v>6607068</v>
      </c>
      <c r="I14" s="209">
        <f t="shared" si="0"/>
        <v>3293729</v>
      </c>
      <c r="J14" s="209">
        <f t="shared" si="0"/>
        <v>0</v>
      </c>
      <c r="K14" s="210">
        <f t="shared" si="0"/>
        <v>24593410</v>
      </c>
    </row>
    <row r="15" spans="1:11" ht="15" customHeight="1" x14ac:dyDescent="0.25">
      <c r="A15" s="486" t="s">
        <v>2</v>
      </c>
      <c r="B15" s="439" t="s">
        <v>167</v>
      </c>
      <c r="C15" s="439" t="s">
        <v>168</v>
      </c>
      <c r="D15" s="489">
        <v>0.95</v>
      </c>
      <c r="E15" s="234" t="s">
        <v>121</v>
      </c>
      <c r="F15" s="53">
        <v>1500000</v>
      </c>
      <c r="G15" s="53">
        <v>205000</v>
      </c>
      <c r="H15" s="53">
        <v>8279994</v>
      </c>
      <c r="I15" s="53">
        <v>2486451</v>
      </c>
      <c r="J15" s="60">
        <v>0</v>
      </c>
      <c r="K15" s="54">
        <f>F15+G15+H15+I15+J15</f>
        <v>12471445</v>
      </c>
    </row>
    <row r="16" spans="1:11" ht="15" customHeight="1" x14ac:dyDescent="0.25">
      <c r="A16" s="487"/>
      <c r="B16" s="440"/>
      <c r="C16" s="440"/>
      <c r="D16" s="490"/>
      <c r="E16" s="140" t="s">
        <v>122</v>
      </c>
      <c r="F16" s="61">
        <v>13027935</v>
      </c>
      <c r="G16" s="61">
        <v>1753990</v>
      </c>
      <c r="H16" s="61">
        <v>200000</v>
      </c>
      <c r="I16" s="61">
        <v>0</v>
      </c>
      <c r="J16" s="59">
        <v>0</v>
      </c>
      <c r="K16" s="57">
        <f>F16+G16+H16+I16+J16</f>
        <v>14981925</v>
      </c>
    </row>
    <row r="17" spans="1:11" ht="15" customHeight="1" thickBot="1" x14ac:dyDescent="0.3">
      <c r="A17" s="488"/>
      <c r="B17" s="441"/>
      <c r="C17" s="441"/>
      <c r="D17" s="491"/>
      <c r="E17" s="235" t="s">
        <v>114</v>
      </c>
      <c r="F17" s="209">
        <f t="shared" ref="F17:K17" si="1">SUM(F15:F16)</f>
        <v>14527935</v>
      </c>
      <c r="G17" s="209">
        <f t="shared" si="1"/>
        <v>1958990</v>
      </c>
      <c r="H17" s="209">
        <f t="shared" si="1"/>
        <v>8479994</v>
      </c>
      <c r="I17" s="209">
        <f t="shared" si="1"/>
        <v>2486451</v>
      </c>
      <c r="J17" s="209">
        <f t="shared" si="1"/>
        <v>0</v>
      </c>
      <c r="K17" s="210">
        <f t="shared" si="1"/>
        <v>27453370</v>
      </c>
    </row>
    <row r="18" spans="1:11" ht="15" customHeight="1" x14ac:dyDescent="0.25">
      <c r="A18" s="486" t="s">
        <v>4</v>
      </c>
      <c r="B18" s="439" t="s">
        <v>169</v>
      </c>
      <c r="C18" s="439" t="s">
        <v>170</v>
      </c>
      <c r="D18" s="489">
        <v>0.95</v>
      </c>
      <c r="E18" s="234" t="s">
        <v>121</v>
      </c>
      <c r="F18" s="141">
        <v>1700000</v>
      </c>
      <c r="G18" s="141">
        <v>231000</v>
      </c>
      <c r="H18" s="141">
        <v>12538367</v>
      </c>
      <c r="I18" s="53">
        <v>3378337</v>
      </c>
      <c r="J18" s="149">
        <v>0</v>
      </c>
      <c r="K18" s="142">
        <f>F18+G18+H18+I18+J18</f>
        <v>17847704</v>
      </c>
    </row>
    <row r="19" spans="1:11" ht="15" customHeight="1" x14ac:dyDescent="0.25">
      <c r="A19" s="487"/>
      <c r="B19" s="440"/>
      <c r="C19" s="440"/>
      <c r="D19" s="490"/>
      <c r="E19" s="140" t="s">
        <v>122</v>
      </c>
      <c r="F19" s="150">
        <v>11916925</v>
      </c>
      <c r="G19" s="150">
        <v>1603559</v>
      </c>
      <c r="H19" s="150">
        <v>200000</v>
      </c>
      <c r="I19" s="150">
        <v>0</v>
      </c>
      <c r="J19" s="151">
        <v>0</v>
      </c>
      <c r="K19" s="144">
        <f>F19+G19+H19+I19+J19</f>
        <v>13720484</v>
      </c>
    </row>
    <row r="20" spans="1:11" ht="15" customHeight="1" thickBot="1" x14ac:dyDescent="0.3">
      <c r="A20" s="488"/>
      <c r="B20" s="441"/>
      <c r="C20" s="441"/>
      <c r="D20" s="491"/>
      <c r="E20" s="235" t="s">
        <v>114</v>
      </c>
      <c r="F20" s="209">
        <f t="shared" ref="F20:K20" si="2">SUM(F18:F19)</f>
        <v>13616925</v>
      </c>
      <c r="G20" s="209">
        <f t="shared" si="2"/>
        <v>1834559</v>
      </c>
      <c r="H20" s="209">
        <f t="shared" si="2"/>
        <v>12738367</v>
      </c>
      <c r="I20" s="209">
        <f t="shared" si="2"/>
        <v>3378337</v>
      </c>
      <c r="J20" s="209">
        <f t="shared" si="2"/>
        <v>0</v>
      </c>
      <c r="K20" s="210">
        <f t="shared" si="2"/>
        <v>31568188</v>
      </c>
    </row>
    <row r="21" spans="1:11" s="143" customFormat="1" ht="15" customHeight="1" x14ac:dyDescent="0.25">
      <c r="A21" s="486" t="s">
        <v>5</v>
      </c>
      <c r="B21" s="439" t="s">
        <v>171</v>
      </c>
      <c r="C21" s="439" t="s">
        <v>172</v>
      </c>
      <c r="D21" s="489">
        <v>0.95</v>
      </c>
      <c r="E21" s="236" t="s">
        <v>121</v>
      </c>
      <c r="F21" s="141">
        <v>1700000</v>
      </c>
      <c r="G21" s="141">
        <v>231000</v>
      </c>
      <c r="H21" s="141">
        <v>11572236</v>
      </c>
      <c r="I21" s="53">
        <v>2401992</v>
      </c>
      <c r="J21" s="149">
        <v>0</v>
      </c>
      <c r="K21" s="54">
        <f>F21+G21+H21+I21+J21</f>
        <v>15905228</v>
      </c>
    </row>
    <row r="22" spans="1:11" ht="15" customHeight="1" x14ac:dyDescent="0.25">
      <c r="A22" s="487"/>
      <c r="B22" s="440"/>
      <c r="C22" s="440"/>
      <c r="D22" s="490"/>
      <c r="E22" s="140" t="s">
        <v>122</v>
      </c>
      <c r="F22" s="150">
        <v>8689310</v>
      </c>
      <c r="G22" s="150">
        <v>1177369</v>
      </c>
      <c r="H22" s="150">
        <v>200000</v>
      </c>
      <c r="I22" s="150">
        <v>0</v>
      </c>
      <c r="J22" s="151">
        <v>0</v>
      </c>
      <c r="K22" s="57">
        <f>F22+G22+H22+I22+J22</f>
        <v>10066679</v>
      </c>
    </row>
    <row r="23" spans="1:11" ht="15" customHeight="1" thickBot="1" x14ac:dyDescent="0.3">
      <c r="A23" s="488"/>
      <c r="B23" s="441"/>
      <c r="C23" s="441"/>
      <c r="D23" s="491"/>
      <c r="E23" s="235" t="s">
        <v>114</v>
      </c>
      <c r="F23" s="209">
        <f t="shared" ref="F23:K23" si="3">SUM(F21:F22)</f>
        <v>10389310</v>
      </c>
      <c r="G23" s="209">
        <f t="shared" si="3"/>
        <v>1408369</v>
      </c>
      <c r="H23" s="209">
        <f t="shared" si="3"/>
        <v>11772236</v>
      </c>
      <c r="I23" s="209">
        <f t="shared" si="3"/>
        <v>2401992</v>
      </c>
      <c r="J23" s="209">
        <f t="shared" si="3"/>
        <v>0</v>
      </c>
      <c r="K23" s="210">
        <f t="shared" si="3"/>
        <v>25971907</v>
      </c>
    </row>
    <row r="24" spans="1:11" ht="15" customHeight="1" x14ac:dyDescent="0.25">
      <c r="A24" s="486" t="s">
        <v>7</v>
      </c>
      <c r="B24" s="432" t="s">
        <v>173</v>
      </c>
      <c r="C24" s="440" t="s">
        <v>174</v>
      </c>
      <c r="D24" s="490">
        <v>0.95</v>
      </c>
      <c r="E24" s="234" t="s">
        <v>121</v>
      </c>
      <c r="F24" s="141">
        <v>1800000</v>
      </c>
      <c r="G24" s="141">
        <v>240000</v>
      </c>
      <c r="H24" s="141">
        <v>14790736</v>
      </c>
      <c r="I24" s="53">
        <v>2079700</v>
      </c>
      <c r="J24" s="149">
        <v>0</v>
      </c>
      <c r="K24" s="54">
        <f>F24+G24+H24+I24+J24</f>
        <v>18910436</v>
      </c>
    </row>
    <row r="25" spans="1:11" ht="15" customHeight="1" x14ac:dyDescent="0.25">
      <c r="A25" s="487"/>
      <c r="B25" s="432"/>
      <c r="C25" s="440"/>
      <c r="D25" s="490"/>
      <c r="E25" s="140" t="s">
        <v>122</v>
      </c>
      <c r="F25" s="150">
        <v>12775486</v>
      </c>
      <c r="G25" s="150">
        <v>1732813</v>
      </c>
      <c r="H25" s="150">
        <v>200000</v>
      </c>
      <c r="I25" s="150">
        <v>0</v>
      </c>
      <c r="J25" s="151">
        <v>0</v>
      </c>
      <c r="K25" s="57">
        <f>F25+G25+H25+I25+J25</f>
        <v>14708299</v>
      </c>
    </row>
    <row r="26" spans="1:11" ht="15" customHeight="1" thickBot="1" x14ac:dyDescent="0.3">
      <c r="A26" s="488"/>
      <c r="B26" s="433"/>
      <c r="C26" s="441"/>
      <c r="D26" s="491"/>
      <c r="E26" s="235" t="s">
        <v>114</v>
      </c>
      <c r="F26" s="209">
        <f t="shared" ref="F26:K26" si="4">SUM(F24:F25)</f>
        <v>14575486</v>
      </c>
      <c r="G26" s="209">
        <f t="shared" si="4"/>
        <v>1972813</v>
      </c>
      <c r="H26" s="209">
        <f t="shared" si="4"/>
        <v>14990736</v>
      </c>
      <c r="I26" s="209">
        <f t="shared" si="4"/>
        <v>2079700</v>
      </c>
      <c r="J26" s="209">
        <f t="shared" si="4"/>
        <v>0</v>
      </c>
      <c r="K26" s="210">
        <f t="shared" si="4"/>
        <v>33618735</v>
      </c>
    </row>
    <row r="27" spans="1:11" ht="15" customHeight="1" x14ac:dyDescent="0.25">
      <c r="A27" s="486" t="s">
        <v>28</v>
      </c>
      <c r="B27" s="431" t="s">
        <v>185</v>
      </c>
      <c r="C27" s="439" t="s">
        <v>186</v>
      </c>
      <c r="D27" s="490">
        <v>0.95</v>
      </c>
      <c r="E27" s="237" t="s">
        <v>121</v>
      </c>
      <c r="F27" s="53">
        <f>1500000+700000+1000000</f>
        <v>3200000</v>
      </c>
      <c r="G27" s="53">
        <v>205000</v>
      </c>
      <c r="H27" s="53">
        <f>8364761-700000-1000000</f>
        <v>6664761</v>
      </c>
      <c r="I27" s="53">
        <v>6040753</v>
      </c>
      <c r="J27" s="149">
        <v>0</v>
      </c>
      <c r="K27" s="144">
        <f>F27+G27+H27+I27+J27</f>
        <v>16110514</v>
      </c>
    </row>
    <row r="28" spans="1:11" ht="15" customHeight="1" x14ac:dyDescent="0.25">
      <c r="A28" s="487"/>
      <c r="B28" s="432"/>
      <c r="C28" s="440"/>
      <c r="D28" s="490"/>
      <c r="E28" s="140" t="s">
        <v>122</v>
      </c>
      <c r="F28" s="150">
        <v>11684885</v>
      </c>
      <c r="G28" s="150">
        <v>1571638</v>
      </c>
      <c r="H28" s="150">
        <v>200000</v>
      </c>
      <c r="I28" s="150">
        <v>0</v>
      </c>
      <c r="J28" s="151">
        <v>0</v>
      </c>
      <c r="K28" s="144">
        <f>F28+G28+H28+I28+J28</f>
        <v>13456523</v>
      </c>
    </row>
    <row r="29" spans="1:11" ht="15" customHeight="1" thickBot="1" x14ac:dyDescent="0.3">
      <c r="A29" s="488"/>
      <c r="B29" s="433"/>
      <c r="C29" s="441"/>
      <c r="D29" s="491"/>
      <c r="E29" s="235" t="s">
        <v>114</v>
      </c>
      <c r="F29" s="209">
        <f t="shared" ref="F29:K29" si="5">SUM(F27:F28)</f>
        <v>14884885</v>
      </c>
      <c r="G29" s="209">
        <f t="shared" si="5"/>
        <v>1776638</v>
      </c>
      <c r="H29" s="209">
        <f t="shared" si="5"/>
        <v>6864761</v>
      </c>
      <c r="I29" s="209">
        <f t="shared" si="5"/>
        <v>6040753</v>
      </c>
      <c r="J29" s="209">
        <f t="shared" si="5"/>
        <v>0</v>
      </c>
      <c r="K29" s="210">
        <f t="shared" si="5"/>
        <v>29567037</v>
      </c>
    </row>
    <row r="30" spans="1:11" s="143" customFormat="1" ht="15" customHeight="1" x14ac:dyDescent="0.25">
      <c r="A30" s="486" t="s">
        <v>89</v>
      </c>
      <c r="B30" s="431" t="s">
        <v>187</v>
      </c>
      <c r="C30" s="439" t="s">
        <v>188</v>
      </c>
      <c r="D30" s="490">
        <v>0.95</v>
      </c>
      <c r="E30" s="237" t="s">
        <v>121</v>
      </c>
      <c r="F30" s="141">
        <v>1800000</v>
      </c>
      <c r="G30" s="141">
        <v>250000</v>
      </c>
      <c r="H30" s="141">
        <v>9471836</v>
      </c>
      <c r="I30" s="53">
        <v>4286716</v>
      </c>
      <c r="J30" s="149">
        <v>0</v>
      </c>
      <c r="K30" s="144">
        <f>F30+G30+H30+I30+J30</f>
        <v>15808552</v>
      </c>
    </row>
    <row r="31" spans="1:11" ht="15" customHeight="1" x14ac:dyDescent="0.25">
      <c r="A31" s="487"/>
      <c r="B31" s="432"/>
      <c r="C31" s="440"/>
      <c r="D31" s="490"/>
      <c r="E31" s="140" t="s">
        <v>122</v>
      </c>
      <c r="F31" s="150">
        <v>12891550</v>
      </c>
      <c r="G31" s="150">
        <v>1747902</v>
      </c>
      <c r="H31" s="150">
        <v>200000</v>
      </c>
      <c r="I31" s="150">
        <v>0</v>
      </c>
      <c r="J31" s="151">
        <v>0</v>
      </c>
      <c r="K31" s="57">
        <f>F31+G31+H31+I31+J31</f>
        <v>14839452</v>
      </c>
    </row>
    <row r="32" spans="1:11" ht="15" customHeight="1" thickBot="1" x14ac:dyDescent="0.3">
      <c r="A32" s="488"/>
      <c r="B32" s="433"/>
      <c r="C32" s="441"/>
      <c r="D32" s="491"/>
      <c r="E32" s="235" t="s">
        <v>114</v>
      </c>
      <c r="F32" s="209">
        <f t="shared" ref="F32:K32" si="6">SUM(F30:F31)</f>
        <v>14691550</v>
      </c>
      <c r="G32" s="209">
        <f t="shared" si="6"/>
        <v>1997902</v>
      </c>
      <c r="H32" s="209">
        <f t="shared" si="6"/>
        <v>9671836</v>
      </c>
      <c r="I32" s="209">
        <f t="shared" si="6"/>
        <v>4286716</v>
      </c>
      <c r="J32" s="209">
        <f t="shared" si="6"/>
        <v>0</v>
      </c>
      <c r="K32" s="210">
        <f t="shared" si="6"/>
        <v>30648004</v>
      </c>
    </row>
    <row r="33" spans="1:13" ht="15" customHeight="1" x14ac:dyDescent="0.25">
      <c r="A33" s="486" t="s">
        <v>153</v>
      </c>
      <c r="B33" s="431" t="s">
        <v>212</v>
      </c>
      <c r="C33" s="439" t="s">
        <v>213</v>
      </c>
      <c r="D33" s="489">
        <v>0.95</v>
      </c>
      <c r="E33" s="236" t="s">
        <v>121</v>
      </c>
      <c r="F33" s="141">
        <v>1300000</v>
      </c>
      <c r="G33" s="141">
        <v>169000</v>
      </c>
      <c r="H33" s="141">
        <v>4245536</v>
      </c>
      <c r="I33" s="141">
        <v>0</v>
      </c>
      <c r="J33" s="149">
        <v>287000</v>
      </c>
      <c r="K33" s="142">
        <f>F33+G33+H33+I33+J33</f>
        <v>6001536</v>
      </c>
    </row>
    <row r="34" spans="1:13" ht="15" customHeight="1" x14ac:dyDescent="0.25">
      <c r="A34" s="487"/>
      <c r="B34" s="432"/>
      <c r="C34" s="440"/>
      <c r="D34" s="490"/>
      <c r="E34" s="140" t="s">
        <v>122</v>
      </c>
      <c r="F34" s="150">
        <v>6785127</v>
      </c>
      <c r="G34" s="150">
        <v>929993</v>
      </c>
      <c r="H34" s="150">
        <v>200000</v>
      </c>
      <c r="I34" s="150">
        <v>0</v>
      </c>
      <c r="J34" s="151">
        <v>0</v>
      </c>
      <c r="K34" s="57">
        <f>F34+G34+H34+I34+J34</f>
        <v>7915120</v>
      </c>
    </row>
    <row r="35" spans="1:13" ht="15" customHeight="1" thickBot="1" x14ac:dyDescent="0.3">
      <c r="A35" s="488"/>
      <c r="B35" s="433"/>
      <c r="C35" s="441"/>
      <c r="D35" s="491"/>
      <c r="E35" s="235" t="s">
        <v>114</v>
      </c>
      <c r="F35" s="209">
        <f t="shared" ref="F35:K35" si="7">SUM(F33:F34)</f>
        <v>8085127</v>
      </c>
      <c r="G35" s="209">
        <f t="shared" si="7"/>
        <v>1098993</v>
      </c>
      <c r="H35" s="209">
        <f t="shared" si="7"/>
        <v>4445536</v>
      </c>
      <c r="I35" s="209">
        <f t="shared" si="7"/>
        <v>0</v>
      </c>
      <c r="J35" s="209">
        <f t="shared" si="7"/>
        <v>287000</v>
      </c>
      <c r="K35" s="210">
        <f t="shared" si="7"/>
        <v>13916656</v>
      </c>
    </row>
    <row r="36" spans="1:13" ht="15" customHeight="1" x14ac:dyDescent="0.25">
      <c r="A36" s="486" t="s">
        <v>154</v>
      </c>
      <c r="B36" s="498" t="s">
        <v>214</v>
      </c>
      <c r="C36" s="439" t="s">
        <v>215</v>
      </c>
      <c r="D36" s="490">
        <v>0.95</v>
      </c>
      <c r="E36" s="237" t="s">
        <v>121</v>
      </c>
      <c r="F36" s="141">
        <v>600000</v>
      </c>
      <c r="G36" s="141">
        <v>250000</v>
      </c>
      <c r="H36" s="141">
        <v>15880118</v>
      </c>
      <c r="I36" s="141">
        <v>0</v>
      </c>
      <c r="J36" s="149">
        <v>136208765</v>
      </c>
      <c r="K36" s="144">
        <f>F36+G36+H36+I36+J36</f>
        <v>152938883</v>
      </c>
    </row>
    <row r="37" spans="1:13" ht="15" customHeight="1" x14ac:dyDescent="0.25">
      <c r="A37" s="487"/>
      <c r="B37" s="499"/>
      <c r="C37" s="440"/>
      <c r="D37" s="490"/>
      <c r="E37" s="140" t="s">
        <v>122</v>
      </c>
      <c r="F37" s="150">
        <v>10339112</v>
      </c>
      <c r="G37" s="150">
        <v>1344084</v>
      </c>
      <c r="H37" s="150">
        <v>500000</v>
      </c>
      <c r="I37" s="150">
        <v>0</v>
      </c>
      <c r="J37" s="151">
        <v>0</v>
      </c>
      <c r="K37" s="57">
        <f>F37+G37+H37+I37+J37</f>
        <v>12183196</v>
      </c>
    </row>
    <row r="38" spans="1:13" ht="15" customHeight="1" thickBot="1" x14ac:dyDescent="0.3">
      <c r="A38" s="488"/>
      <c r="B38" s="500"/>
      <c r="C38" s="441"/>
      <c r="D38" s="491"/>
      <c r="E38" s="235" t="s">
        <v>114</v>
      </c>
      <c r="F38" s="209">
        <f t="shared" ref="F38:K38" si="8">SUM(F36:F37)</f>
        <v>10939112</v>
      </c>
      <c r="G38" s="209">
        <f t="shared" si="8"/>
        <v>1594084</v>
      </c>
      <c r="H38" s="209">
        <f t="shared" si="8"/>
        <v>16380118</v>
      </c>
      <c r="I38" s="209">
        <f t="shared" si="8"/>
        <v>0</v>
      </c>
      <c r="J38" s="209">
        <f t="shared" si="8"/>
        <v>136208765</v>
      </c>
      <c r="K38" s="210">
        <f t="shared" si="8"/>
        <v>165122079</v>
      </c>
    </row>
    <row r="39" spans="1:13" ht="15" customHeight="1" x14ac:dyDescent="0.25">
      <c r="A39" s="486" t="s">
        <v>149</v>
      </c>
      <c r="B39" s="495" t="s">
        <v>216</v>
      </c>
      <c r="C39" s="439" t="s">
        <v>217</v>
      </c>
      <c r="D39" s="490">
        <v>0.95</v>
      </c>
      <c r="E39" s="237" t="s">
        <v>121</v>
      </c>
      <c r="F39" s="53">
        <f>109989813-1200000</f>
        <v>108789813</v>
      </c>
      <c r="G39" s="53">
        <f>300000-250000</f>
        <v>50000</v>
      </c>
      <c r="H39" s="53">
        <f>57083161-300000</f>
        <v>56783161</v>
      </c>
      <c r="I39" s="53">
        <v>0</v>
      </c>
      <c r="J39" s="60">
        <f>186511517-4628579+18028579+166861542</f>
        <v>366773059</v>
      </c>
      <c r="K39" s="144">
        <f>F39+G39+H39+I39+J39</f>
        <v>532396033</v>
      </c>
    </row>
    <row r="40" spans="1:13" ht="15" customHeight="1" x14ac:dyDescent="0.25">
      <c r="A40" s="487"/>
      <c r="B40" s="496"/>
      <c r="C40" s="440"/>
      <c r="D40" s="490"/>
      <c r="E40" s="140" t="s">
        <v>122</v>
      </c>
      <c r="F40" s="55">
        <f>11958216-10000000</f>
        <v>1958216</v>
      </c>
      <c r="G40" s="55">
        <f>1554568-1300000</f>
        <v>254568</v>
      </c>
      <c r="H40" s="55">
        <f>500000-350000</f>
        <v>150000</v>
      </c>
      <c r="I40" s="55">
        <v>0</v>
      </c>
      <c r="J40" s="59">
        <v>0</v>
      </c>
      <c r="K40" s="57">
        <f>F40+G40+H40+I40+J40</f>
        <v>2362784</v>
      </c>
    </row>
    <row r="41" spans="1:13" ht="15" customHeight="1" thickBot="1" x14ac:dyDescent="0.3">
      <c r="A41" s="488"/>
      <c r="B41" s="497"/>
      <c r="C41" s="441"/>
      <c r="D41" s="491"/>
      <c r="E41" s="235" t="s">
        <v>114</v>
      </c>
      <c r="F41" s="209">
        <f t="shared" ref="F41:K41" si="9">SUM(F39:F40)</f>
        <v>110748029</v>
      </c>
      <c r="G41" s="209">
        <f t="shared" si="9"/>
        <v>304568</v>
      </c>
      <c r="H41" s="209">
        <f t="shared" si="9"/>
        <v>56933161</v>
      </c>
      <c r="I41" s="209">
        <f t="shared" si="9"/>
        <v>0</v>
      </c>
      <c r="J41" s="209">
        <f t="shared" si="9"/>
        <v>366773059</v>
      </c>
      <c r="K41" s="210">
        <f t="shared" si="9"/>
        <v>534758817</v>
      </c>
    </row>
    <row r="42" spans="1:13" s="143" customFormat="1" ht="15" customHeight="1" x14ac:dyDescent="0.25">
      <c r="A42" s="486" t="s">
        <v>129</v>
      </c>
      <c r="B42" s="431" t="s">
        <v>157</v>
      </c>
      <c r="C42" s="439">
        <v>101225246</v>
      </c>
      <c r="D42" s="489">
        <v>0.72299999999999998</v>
      </c>
      <c r="E42" s="234" t="s">
        <v>121</v>
      </c>
      <c r="F42" s="141">
        <v>2500000</v>
      </c>
      <c r="G42" s="141">
        <v>800000</v>
      </c>
      <c r="H42" s="141">
        <v>4204246</v>
      </c>
      <c r="I42" s="141">
        <v>0</v>
      </c>
      <c r="J42" s="149">
        <v>0</v>
      </c>
      <c r="K42" s="54">
        <f>F42+G42+H42+I42+J42</f>
        <v>7504246</v>
      </c>
    </row>
    <row r="43" spans="1:13" ht="15" customHeight="1" x14ac:dyDescent="0.25">
      <c r="A43" s="487"/>
      <c r="B43" s="432"/>
      <c r="C43" s="440"/>
      <c r="D43" s="490"/>
      <c r="E43" s="140" t="s">
        <v>122</v>
      </c>
      <c r="F43" s="150">
        <v>8411110</v>
      </c>
      <c r="G43" s="150">
        <v>1166944</v>
      </c>
      <c r="H43" s="150">
        <v>150000</v>
      </c>
      <c r="I43" s="150">
        <v>0</v>
      </c>
      <c r="J43" s="151">
        <v>0</v>
      </c>
      <c r="K43" s="57">
        <f>F43+G43+H43+I43+J43</f>
        <v>9728054</v>
      </c>
    </row>
    <row r="44" spans="1:13" ht="15" customHeight="1" thickBot="1" x14ac:dyDescent="0.3">
      <c r="A44" s="488"/>
      <c r="B44" s="433"/>
      <c r="C44" s="441"/>
      <c r="D44" s="491"/>
      <c r="E44" s="235" t="s">
        <v>114</v>
      </c>
      <c r="F44" s="209">
        <f t="shared" ref="F44:K44" si="10">SUM(F42:F43)</f>
        <v>10911110</v>
      </c>
      <c r="G44" s="209">
        <f t="shared" si="10"/>
        <v>1966944</v>
      </c>
      <c r="H44" s="209">
        <f t="shared" si="10"/>
        <v>4354246</v>
      </c>
      <c r="I44" s="209">
        <f t="shared" si="10"/>
        <v>0</v>
      </c>
      <c r="J44" s="209">
        <f t="shared" si="10"/>
        <v>0</v>
      </c>
      <c r="K44" s="210">
        <f t="shared" si="10"/>
        <v>17232300</v>
      </c>
    </row>
    <row r="45" spans="1:13" s="143" customFormat="1" ht="15" customHeight="1" x14ac:dyDescent="0.25">
      <c r="A45" s="421" t="s">
        <v>130</v>
      </c>
      <c r="B45" s="431" t="s">
        <v>160</v>
      </c>
      <c r="C45" s="434" t="s">
        <v>161</v>
      </c>
      <c r="D45" s="418">
        <v>1</v>
      </c>
      <c r="E45" s="159" t="s">
        <v>121</v>
      </c>
      <c r="F45" s="53">
        <f>760000+468000+1500000</f>
        <v>2728000</v>
      </c>
      <c r="G45" s="53">
        <v>98800</v>
      </c>
      <c r="H45" s="53">
        <f>362683881-468000-1500000</f>
        <v>360715881</v>
      </c>
      <c r="I45" s="53">
        <f>189023034+45211738</f>
        <v>234234772</v>
      </c>
      <c r="J45" s="60">
        <v>27483222</v>
      </c>
      <c r="K45" s="54">
        <f>F45+G45+H45+I45+J45</f>
        <v>625260675</v>
      </c>
    </row>
    <row r="46" spans="1:13" ht="15" customHeight="1" x14ac:dyDescent="0.25">
      <c r="A46" s="422"/>
      <c r="B46" s="432"/>
      <c r="C46" s="435"/>
      <c r="D46" s="419"/>
      <c r="E46" s="160" t="s">
        <v>122</v>
      </c>
      <c r="F46" s="55">
        <v>64021000</v>
      </c>
      <c r="G46" s="55">
        <v>8818346</v>
      </c>
      <c r="H46" s="55">
        <v>3500000</v>
      </c>
      <c r="I46" s="55">
        <v>0</v>
      </c>
      <c r="J46" s="59">
        <v>0</v>
      </c>
      <c r="K46" s="57">
        <f>F46+G46+H46+I46+J46</f>
        <v>76339346</v>
      </c>
    </row>
    <row r="47" spans="1:13" ht="15" customHeight="1" thickBot="1" x14ac:dyDescent="0.3">
      <c r="A47" s="423"/>
      <c r="B47" s="433"/>
      <c r="C47" s="436"/>
      <c r="D47" s="420"/>
      <c r="E47" s="208" t="s">
        <v>114</v>
      </c>
      <c r="F47" s="209">
        <f t="shared" ref="F47:K47" si="11">SUM(F45:F46)</f>
        <v>66749000</v>
      </c>
      <c r="G47" s="209">
        <f t="shared" si="11"/>
        <v>8917146</v>
      </c>
      <c r="H47" s="209">
        <f t="shared" si="11"/>
        <v>364215881</v>
      </c>
      <c r="I47" s="209">
        <f t="shared" si="11"/>
        <v>234234772</v>
      </c>
      <c r="J47" s="209">
        <f t="shared" si="11"/>
        <v>27483222</v>
      </c>
      <c r="K47" s="210">
        <f t="shared" si="11"/>
        <v>701600021</v>
      </c>
      <c r="M47" s="238"/>
    </row>
    <row r="48" spans="1:13" ht="15" customHeight="1" x14ac:dyDescent="0.25">
      <c r="A48" s="421" t="s">
        <v>131</v>
      </c>
      <c r="B48" s="450" t="s">
        <v>192</v>
      </c>
      <c r="C48" s="427" t="s">
        <v>193</v>
      </c>
      <c r="D48" s="418">
        <v>1</v>
      </c>
      <c r="E48" s="159" t="s">
        <v>121</v>
      </c>
      <c r="F48" s="53">
        <v>266042000</v>
      </c>
      <c r="G48" s="53">
        <v>10000000</v>
      </c>
      <c r="H48" s="53">
        <v>129531340</v>
      </c>
      <c r="I48" s="53">
        <v>467140780</v>
      </c>
      <c r="J48" s="60">
        <v>52113449</v>
      </c>
      <c r="K48" s="54">
        <f>F48+G48+H48+I48+J48</f>
        <v>924827569</v>
      </c>
    </row>
    <row r="49" spans="1:11" ht="15" customHeight="1" x14ac:dyDescent="0.25">
      <c r="A49" s="422"/>
      <c r="B49" s="442"/>
      <c r="C49" s="428"/>
      <c r="D49" s="419"/>
      <c r="E49" s="160" t="s">
        <v>122</v>
      </c>
      <c r="F49" s="55">
        <v>89816935</v>
      </c>
      <c r="G49" s="55">
        <v>12392626</v>
      </c>
      <c r="H49" s="55">
        <v>4000000</v>
      </c>
      <c r="I49" s="55">
        <v>0</v>
      </c>
      <c r="J49" s="59">
        <v>0</v>
      </c>
      <c r="K49" s="57">
        <f>F49+G49+H49+I49+J49</f>
        <v>106209561</v>
      </c>
    </row>
    <row r="50" spans="1:11" ht="15" customHeight="1" thickBot="1" x14ac:dyDescent="0.3">
      <c r="A50" s="423"/>
      <c r="B50" s="449"/>
      <c r="C50" s="429"/>
      <c r="D50" s="420"/>
      <c r="E50" s="208" t="s">
        <v>114</v>
      </c>
      <c r="F50" s="209">
        <f t="shared" ref="F50:K50" si="12">SUM(F48:F49)</f>
        <v>355858935</v>
      </c>
      <c r="G50" s="209">
        <f t="shared" si="12"/>
        <v>22392626</v>
      </c>
      <c r="H50" s="209">
        <f t="shared" si="12"/>
        <v>133531340</v>
      </c>
      <c r="I50" s="209">
        <f t="shared" si="12"/>
        <v>467140780</v>
      </c>
      <c r="J50" s="209">
        <f t="shared" si="12"/>
        <v>52113449</v>
      </c>
      <c r="K50" s="210">
        <f t="shared" si="12"/>
        <v>1031037130</v>
      </c>
    </row>
    <row r="51" spans="1:11" ht="15" customHeight="1" x14ac:dyDescent="0.25">
      <c r="A51" s="421" t="s">
        <v>132</v>
      </c>
      <c r="B51" s="427" t="s">
        <v>218</v>
      </c>
      <c r="C51" s="427" t="s">
        <v>219</v>
      </c>
      <c r="D51" s="418">
        <v>1</v>
      </c>
      <c r="E51" s="159" t="s">
        <v>121</v>
      </c>
      <c r="F51" s="53">
        <v>0</v>
      </c>
      <c r="G51" s="53">
        <v>0</v>
      </c>
      <c r="H51" s="53">
        <v>70000000</v>
      </c>
      <c r="I51" s="53">
        <v>0</v>
      </c>
      <c r="J51" s="60">
        <v>6000000</v>
      </c>
      <c r="K51" s="54">
        <f>F51+G51+H51+I51+J51</f>
        <v>76000000</v>
      </c>
    </row>
    <row r="52" spans="1:11" ht="15" customHeight="1" x14ac:dyDescent="0.25">
      <c r="A52" s="422"/>
      <c r="B52" s="428"/>
      <c r="C52" s="428"/>
      <c r="D52" s="419"/>
      <c r="E52" s="160" t="s">
        <v>122</v>
      </c>
      <c r="F52" s="55">
        <v>16800000</v>
      </c>
      <c r="G52" s="55">
        <v>2184000</v>
      </c>
      <c r="H52" s="55">
        <v>416000</v>
      </c>
      <c r="I52" s="55">
        <v>0</v>
      </c>
      <c r="J52" s="59">
        <v>0</v>
      </c>
      <c r="K52" s="57">
        <f>F52+G52+H52+I52+J52</f>
        <v>19400000</v>
      </c>
    </row>
    <row r="53" spans="1:11" ht="15" customHeight="1" thickBot="1" x14ac:dyDescent="0.3">
      <c r="A53" s="423"/>
      <c r="B53" s="429"/>
      <c r="C53" s="429"/>
      <c r="D53" s="420"/>
      <c r="E53" s="208" t="s">
        <v>114</v>
      </c>
      <c r="F53" s="209">
        <f t="shared" ref="F53:K53" si="13">SUM(F51:F52)</f>
        <v>16800000</v>
      </c>
      <c r="G53" s="209">
        <f t="shared" si="13"/>
        <v>2184000</v>
      </c>
      <c r="H53" s="209">
        <f t="shared" si="13"/>
        <v>70416000</v>
      </c>
      <c r="I53" s="209">
        <f t="shared" si="13"/>
        <v>0</v>
      </c>
      <c r="J53" s="209">
        <f t="shared" si="13"/>
        <v>6000000</v>
      </c>
      <c r="K53" s="210">
        <f t="shared" si="13"/>
        <v>95400000</v>
      </c>
    </row>
    <row r="54" spans="1:11" ht="15" customHeight="1" x14ac:dyDescent="0.25">
      <c r="A54" s="421" t="s">
        <v>133</v>
      </c>
      <c r="B54" s="424" t="s">
        <v>159</v>
      </c>
      <c r="C54" s="427" t="s">
        <v>158</v>
      </c>
      <c r="D54" s="418">
        <v>1</v>
      </c>
      <c r="E54" s="159" t="s">
        <v>121</v>
      </c>
      <c r="F54" s="53">
        <v>0</v>
      </c>
      <c r="G54" s="53">
        <v>0</v>
      </c>
      <c r="H54" s="53">
        <v>0</v>
      </c>
      <c r="I54" s="141">
        <v>1131539</v>
      </c>
      <c r="J54" s="60">
        <v>0</v>
      </c>
      <c r="K54" s="54">
        <f>F54+G54+H54+I54+J54</f>
        <v>1131539</v>
      </c>
    </row>
    <row r="55" spans="1:11" ht="15" customHeight="1" x14ac:dyDescent="0.25">
      <c r="A55" s="422"/>
      <c r="B55" s="425"/>
      <c r="C55" s="428"/>
      <c r="D55" s="419"/>
      <c r="E55" s="160" t="s">
        <v>122</v>
      </c>
      <c r="F55" s="55">
        <v>0</v>
      </c>
      <c r="G55" s="55">
        <v>0</v>
      </c>
      <c r="H55" s="55">
        <v>0</v>
      </c>
      <c r="I55" s="55">
        <v>0</v>
      </c>
      <c r="J55" s="59">
        <v>0</v>
      </c>
      <c r="K55" s="57">
        <f>F55+G55+H55+I55+J55</f>
        <v>0</v>
      </c>
    </row>
    <row r="56" spans="1:11" ht="15" customHeight="1" thickBot="1" x14ac:dyDescent="0.3">
      <c r="A56" s="423"/>
      <c r="B56" s="426"/>
      <c r="C56" s="429"/>
      <c r="D56" s="420"/>
      <c r="E56" s="208" t="s">
        <v>114</v>
      </c>
      <c r="F56" s="209">
        <f t="shared" ref="F56:K56" si="14">SUM(F54:F55)</f>
        <v>0</v>
      </c>
      <c r="G56" s="209">
        <f t="shared" si="14"/>
        <v>0</v>
      </c>
      <c r="H56" s="209">
        <f t="shared" si="14"/>
        <v>0</v>
      </c>
      <c r="I56" s="209">
        <f t="shared" si="14"/>
        <v>1131539</v>
      </c>
      <c r="J56" s="209">
        <f t="shared" si="14"/>
        <v>0</v>
      </c>
      <c r="K56" s="210">
        <f t="shared" si="14"/>
        <v>1131539</v>
      </c>
    </row>
    <row r="57" spans="1:11" ht="15" customHeight="1" x14ac:dyDescent="0.25">
      <c r="A57" s="421" t="s">
        <v>138</v>
      </c>
      <c r="B57" s="425" t="s">
        <v>146</v>
      </c>
      <c r="C57" s="437" t="s">
        <v>145</v>
      </c>
      <c r="D57" s="419">
        <v>1</v>
      </c>
      <c r="E57" s="159" t="s">
        <v>121</v>
      </c>
      <c r="F57" s="53">
        <v>0</v>
      </c>
      <c r="G57" s="53">
        <v>0</v>
      </c>
      <c r="H57" s="53">
        <v>0</v>
      </c>
      <c r="I57" s="141">
        <v>191995</v>
      </c>
      <c r="J57" s="60">
        <v>0</v>
      </c>
      <c r="K57" s="54">
        <f>F57+G57+H57+I57+J57</f>
        <v>191995</v>
      </c>
    </row>
    <row r="58" spans="1:11" ht="15" customHeight="1" x14ac:dyDescent="0.25">
      <c r="A58" s="422"/>
      <c r="B58" s="425"/>
      <c r="C58" s="437"/>
      <c r="D58" s="419"/>
      <c r="E58" s="160" t="s">
        <v>122</v>
      </c>
      <c r="F58" s="55">
        <v>0</v>
      </c>
      <c r="G58" s="55">
        <v>0</v>
      </c>
      <c r="H58" s="55">
        <v>0</v>
      </c>
      <c r="I58" s="55">
        <v>0</v>
      </c>
      <c r="J58" s="59">
        <v>0</v>
      </c>
      <c r="K58" s="57">
        <f>F58+G58+H58+I58+J58</f>
        <v>0</v>
      </c>
    </row>
    <row r="59" spans="1:11" ht="15" customHeight="1" thickBot="1" x14ac:dyDescent="0.3">
      <c r="A59" s="423"/>
      <c r="B59" s="426"/>
      <c r="C59" s="438"/>
      <c r="D59" s="420"/>
      <c r="E59" s="208" t="s">
        <v>114</v>
      </c>
      <c r="F59" s="209">
        <f t="shared" ref="F59:K59" si="15">SUM(F57:F58)</f>
        <v>0</v>
      </c>
      <c r="G59" s="209">
        <f t="shared" si="15"/>
        <v>0</v>
      </c>
      <c r="H59" s="209">
        <f t="shared" si="15"/>
        <v>0</v>
      </c>
      <c r="I59" s="209">
        <f t="shared" si="15"/>
        <v>191995</v>
      </c>
      <c r="J59" s="209">
        <f t="shared" si="15"/>
        <v>0</v>
      </c>
      <c r="K59" s="210">
        <f t="shared" si="15"/>
        <v>191995</v>
      </c>
    </row>
    <row r="60" spans="1:11" ht="15" customHeight="1" x14ac:dyDescent="0.25">
      <c r="A60" s="421" t="s">
        <v>139</v>
      </c>
      <c r="B60" s="442" t="s">
        <v>143</v>
      </c>
      <c r="C60" s="437" t="s">
        <v>144</v>
      </c>
      <c r="D60" s="419">
        <v>1</v>
      </c>
      <c r="E60" s="159" t="s">
        <v>121</v>
      </c>
      <c r="F60" s="53">
        <v>0</v>
      </c>
      <c r="G60" s="53">
        <v>0</v>
      </c>
      <c r="H60" s="53">
        <v>0</v>
      </c>
      <c r="I60" s="53">
        <v>283673</v>
      </c>
      <c r="J60" s="60">
        <v>0</v>
      </c>
      <c r="K60" s="57">
        <f>F60+G60+H60+I60+J60</f>
        <v>283673</v>
      </c>
    </row>
    <row r="61" spans="1:11" ht="15" customHeight="1" x14ac:dyDescent="0.25">
      <c r="A61" s="422"/>
      <c r="B61" s="442"/>
      <c r="C61" s="437"/>
      <c r="D61" s="419"/>
      <c r="E61" s="160" t="s">
        <v>122</v>
      </c>
      <c r="F61" s="55">
        <v>0</v>
      </c>
      <c r="G61" s="55">
        <v>0</v>
      </c>
      <c r="H61" s="55">
        <v>0</v>
      </c>
      <c r="I61" s="55">
        <v>0</v>
      </c>
      <c r="J61" s="59">
        <v>0</v>
      </c>
      <c r="K61" s="57">
        <f>F61+G61+H61+I61+J61</f>
        <v>0</v>
      </c>
    </row>
    <row r="62" spans="1:11" ht="15" customHeight="1" thickBot="1" x14ac:dyDescent="0.3">
      <c r="A62" s="423"/>
      <c r="B62" s="442"/>
      <c r="C62" s="437"/>
      <c r="D62" s="419"/>
      <c r="E62" s="208" t="s">
        <v>114</v>
      </c>
      <c r="F62" s="212">
        <f t="shared" ref="F62:K62" si="16">SUM(F60:F61)</f>
        <v>0</v>
      </c>
      <c r="G62" s="212">
        <f t="shared" si="16"/>
        <v>0</v>
      </c>
      <c r="H62" s="212">
        <f t="shared" si="16"/>
        <v>0</v>
      </c>
      <c r="I62" s="212">
        <f t="shared" si="16"/>
        <v>283673</v>
      </c>
      <c r="J62" s="212">
        <f t="shared" si="16"/>
        <v>0</v>
      </c>
      <c r="K62" s="213">
        <f t="shared" si="16"/>
        <v>283673</v>
      </c>
    </row>
    <row r="63" spans="1:11" ht="15" customHeight="1" x14ac:dyDescent="0.25">
      <c r="A63" s="409" t="s">
        <v>123</v>
      </c>
      <c r="B63" s="410"/>
      <c r="C63" s="410"/>
      <c r="D63" s="411"/>
      <c r="E63" s="145" t="s">
        <v>121</v>
      </c>
      <c r="F63" s="87">
        <f>F12+F15+F18+F21+F24+F27+F30+F42+F45+F48+F51+F54+F57+F60+F33+F36+F39</f>
        <v>395159813</v>
      </c>
      <c r="G63" s="87">
        <f t="shared" ref="G63:K64" si="17">G12+G15+G18+G21+G24+G27+G30+G42+G45+G48+G51+G54+G57+G60+G33+G36+G39</f>
        <v>12934800</v>
      </c>
      <c r="H63" s="87">
        <f t="shared" si="17"/>
        <v>711085280</v>
      </c>
      <c r="I63" s="87">
        <f t="shared" si="17"/>
        <v>726950437</v>
      </c>
      <c r="J63" s="87">
        <f t="shared" si="17"/>
        <v>588865495</v>
      </c>
      <c r="K63" s="146">
        <f t="shared" si="17"/>
        <v>2434995825</v>
      </c>
    </row>
    <row r="64" spans="1:11" ht="15" customHeight="1" x14ac:dyDescent="0.25">
      <c r="A64" s="412"/>
      <c r="B64" s="413"/>
      <c r="C64" s="413"/>
      <c r="D64" s="414"/>
      <c r="E64" s="152" t="s">
        <v>122</v>
      </c>
      <c r="F64" s="88">
        <f>F13+F16+F19+F22+F25+F28+F31+F43+F46+F49+F52+F55+F58+F61+F34+F37+F40</f>
        <v>280559232</v>
      </c>
      <c r="G64" s="88">
        <f t="shared" si="17"/>
        <v>38223804</v>
      </c>
      <c r="H64" s="88">
        <f t="shared" si="17"/>
        <v>10316000</v>
      </c>
      <c r="I64" s="88">
        <f t="shared" si="17"/>
        <v>0</v>
      </c>
      <c r="J64" s="88">
        <f t="shared" si="17"/>
        <v>0</v>
      </c>
      <c r="K64" s="148">
        <f t="shared" si="17"/>
        <v>329099036</v>
      </c>
    </row>
    <row r="65" spans="1:11" ht="15" customHeight="1" thickBot="1" x14ac:dyDescent="0.3">
      <c r="A65" s="415"/>
      <c r="B65" s="416"/>
      <c r="C65" s="416"/>
      <c r="D65" s="417"/>
      <c r="E65" s="153" t="s">
        <v>114</v>
      </c>
      <c r="F65" s="89">
        <f>SUM(F63:F64)</f>
        <v>675719045</v>
      </c>
      <c r="G65" s="89">
        <f>SUM(G63:G64)</f>
        <v>51158604</v>
      </c>
      <c r="H65" s="89">
        <f>SUM(H63:H64)</f>
        <v>721401280</v>
      </c>
      <c r="I65" s="89">
        <f>SUM(I63:I64)</f>
        <v>726950437</v>
      </c>
      <c r="J65" s="89">
        <f t="shared" ref="J65:K65" si="18">SUM(J63:J64)</f>
        <v>588865495</v>
      </c>
      <c r="K65" s="90">
        <f t="shared" si="18"/>
        <v>2764094861</v>
      </c>
    </row>
    <row r="66" spans="1:11" ht="15" customHeight="1" x14ac:dyDescent="0.25">
      <c r="A66" s="430"/>
      <c r="B66" s="430"/>
      <c r="C66" s="430"/>
      <c r="D66" s="430"/>
      <c r="E66" s="430"/>
      <c r="F66" s="430"/>
      <c r="G66" s="430"/>
    </row>
    <row r="67" spans="1:11" x14ac:dyDescent="0.25">
      <c r="K67" s="238"/>
    </row>
    <row r="68" spans="1:11" ht="35.25" x14ac:dyDescent="0.5">
      <c r="A68" s="70"/>
    </row>
    <row r="69" spans="1:11" x14ac:dyDescent="0.25">
      <c r="K69" s="238"/>
    </row>
  </sheetData>
  <mergeCells count="85">
    <mergeCell ref="A51:A53"/>
    <mergeCell ref="B51:B53"/>
    <mergeCell ref="C51:C53"/>
    <mergeCell ref="D51:D53"/>
    <mergeCell ref="A57:A59"/>
    <mergeCell ref="B57:B59"/>
    <mergeCell ref="C57:C59"/>
    <mergeCell ref="D57:D59"/>
    <mergeCell ref="A54:A56"/>
    <mergeCell ref="B54:B56"/>
    <mergeCell ref="C54:C56"/>
    <mergeCell ref="D54:D56"/>
    <mergeCell ref="A60:A62"/>
    <mergeCell ref="B60:B62"/>
    <mergeCell ref="C60:C62"/>
    <mergeCell ref="D60:D62"/>
    <mergeCell ref="A42:A44"/>
    <mergeCell ref="B42:B44"/>
    <mergeCell ref="C42:C44"/>
    <mergeCell ref="D42:D44"/>
    <mergeCell ref="A45:A47"/>
    <mergeCell ref="B45:B47"/>
    <mergeCell ref="C45:C47"/>
    <mergeCell ref="D45:D47"/>
    <mergeCell ref="A48:A50"/>
    <mergeCell ref="B48:B50"/>
    <mergeCell ref="C48:C50"/>
    <mergeCell ref="D48:D50"/>
    <mergeCell ref="A27:A29"/>
    <mergeCell ref="B27:B29"/>
    <mergeCell ref="C27:C29"/>
    <mergeCell ref="D27:D29"/>
    <mergeCell ref="A30:A32"/>
    <mergeCell ref="B30:B32"/>
    <mergeCell ref="C30:C32"/>
    <mergeCell ref="D30:D32"/>
    <mergeCell ref="A33:A35"/>
    <mergeCell ref="B33:B35"/>
    <mergeCell ref="C33:C35"/>
    <mergeCell ref="D33:D35"/>
    <mergeCell ref="A39:A41"/>
    <mergeCell ref="B39:B41"/>
    <mergeCell ref="C39:C41"/>
    <mergeCell ref="D39:D41"/>
    <mergeCell ref="A36:A38"/>
    <mergeCell ref="B36:B38"/>
    <mergeCell ref="C36:C38"/>
    <mergeCell ref="D36:D38"/>
    <mergeCell ref="A15:A17"/>
    <mergeCell ref="B15:B17"/>
    <mergeCell ref="C15:C17"/>
    <mergeCell ref="D15:D17"/>
    <mergeCell ref="A18:A20"/>
    <mergeCell ref="B18:B20"/>
    <mergeCell ref="C18:C20"/>
    <mergeCell ref="D18:D20"/>
    <mergeCell ref="C21:C23"/>
    <mergeCell ref="D21:D23"/>
    <mergeCell ref="A24:A26"/>
    <mergeCell ref="B24:B26"/>
    <mergeCell ref="C24:C26"/>
    <mergeCell ref="D24:D26"/>
    <mergeCell ref="E1:K1"/>
    <mergeCell ref="A5:K5"/>
    <mergeCell ref="A6:K6"/>
    <mergeCell ref="A7:K7"/>
    <mergeCell ref="J8:K8"/>
    <mergeCell ref="E2:K2"/>
    <mergeCell ref="A4:K4"/>
    <mergeCell ref="A63:D65"/>
    <mergeCell ref="A66:G66"/>
    <mergeCell ref="D10:D11"/>
    <mergeCell ref="E10:E11"/>
    <mergeCell ref="F10:K10"/>
    <mergeCell ref="A12:A14"/>
    <mergeCell ref="B12:B14"/>
    <mergeCell ref="C12:C14"/>
    <mergeCell ref="D12:D14"/>
    <mergeCell ref="A9:A11"/>
    <mergeCell ref="B9:D9"/>
    <mergeCell ref="E9:K9"/>
    <mergeCell ref="B10:B11"/>
    <mergeCell ref="C10:C11"/>
    <mergeCell ref="A21:A23"/>
    <mergeCell ref="B21:B2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landscape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DF8B-03F0-46D6-B05A-25EEB8749402}">
  <sheetPr>
    <tabColor theme="6" tint="0.59999389629810485"/>
  </sheetPr>
  <dimension ref="A1:F23"/>
  <sheetViews>
    <sheetView zoomScaleNormal="100" workbookViewId="0">
      <selection activeCell="H21" sqref="H21"/>
    </sheetView>
  </sheetViews>
  <sheetFormatPr defaultRowHeight="15.75" x14ac:dyDescent="0.25"/>
  <cols>
    <col min="1" max="1" width="5.42578125" style="4" customWidth="1"/>
    <col min="2" max="2" width="83.7109375" style="15" customWidth="1"/>
    <col min="3" max="6" width="11.7109375" style="3" customWidth="1"/>
    <col min="7" max="16384" width="9.140625" style="3"/>
  </cols>
  <sheetData>
    <row r="1" spans="1:6" ht="14.25" x14ac:dyDescent="0.2">
      <c r="A1" s="381" t="s">
        <v>207</v>
      </c>
      <c r="B1" s="381"/>
      <c r="C1" s="381"/>
      <c r="D1" s="381"/>
      <c r="E1" s="381"/>
      <c r="F1" s="381"/>
    </row>
    <row r="2" spans="1:6" ht="14.25" x14ac:dyDescent="0.2">
      <c r="A2" s="381" t="s">
        <v>208</v>
      </c>
      <c r="B2" s="381"/>
      <c r="C2" s="381"/>
      <c r="D2" s="381"/>
      <c r="E2" s="381"/>
      <c r="F2" s="381"/>
    </row>
    <row r="3" spans="1:6" x14ac:dyDescent="0.25">
      <c r="A3" s="12"/>
      <c r="B3" s="9"/>
    </row>
    <row r="4" spans="1:6" x14ac:dyDescent="0.25">
      <c r="A4" s="372" t="s">
        <v>162</v>
      </c>
      <c r="B4" s="372"/>
      <c r="C4" s="372"/>
      <c r="D4" s="372"/>
      <c r="E4" s="372"/>
      <c r="F4" s="372"/>
    </row>
    <row r="5" spans="1:6" x14ac:dyDescent="0.2">
      <c r="A5" s="516" t="s">
        <v>176</v>
      </c>
      <c r="B5" s="516"/>
      <c r="C5" s="516"/>
      <c r="D5" s="516"/>
      <c r="E5" s="516"/>
      <c r="F5" s="516"/>
    </row>
    <row r="6" spans="1:6" x14ac:dyDescent="0.25">
      <c r="A6" s="372" t="s">
        <v>194</v>
      </c>
      <c r="B6" s="372"/>
      <c r="C6" s="372"/>
      <c r="D6" s="372"/>
      <c r="E6" s="372"/>
      <c r="F6" s="372"/>
    </row>
    <row r="7" spans="1:6" ht="15" customHeight="1" x14ac:dyDescent="0.25">
      <c r="A7" s="372" t="s">
        <v>246</v>
      </c>
      <c r="B7" s="372"/>
      <c r="C7" s="372"/>
      <c r="D7" s="372"/>
      <c r="E7" s="372"/>
      <c r="F7" s="372"/>
    </row>
    <row r="8" spans="1:6" ht="16.5" thickBot="1" x14ac:dyDescent="0.3">
      <c r="B8" s="13"/>
      <c r="C8" s="515" t="s">
        <v>155</v>
      </c>
      <c r="D8" s="515"/>
      <c r="E8" s="515"/>
      <c r="F8" s="515"/>
    </row>
    <row r="9" spans="1:6" ht="15" customHeight="1" x14ac:dyDescent="0.2">
      <c r="A9" s="503" t="s">
        <v>9</v>
      </c>
      <c r="B9" s="506" t="s">
        <v>35</v>
      </c>
      <c r="C9" s="509" t="s">
        <v>38</v>
      </c>
      <c r="D9" s="509" t="s">
        <v>104</v>
      </c>
      <c r="E9" s="509" t="s">
        <v>140</v>
      </c>
      <c r="F9" s="512" t="s">
        <v>104</v>
      </c>
    </row>
    <row r="10" spans="1:6" ht="15" customHeight="1" x14ac:dyDescent="0.2">
      <c r="A10" s="504"/>
      <c r="B10" s="507"/>
      <c r="C10" s="510" t="s">
        <v>104</v>
      </c>
      <c r="D10" s="510" t="s">
        <v>104</v>
      </c>
      <c r="E10" s="510" t="s">
        <v>104</v>
      </c>
      <c r="F10" s="513" t="s">
        <v>104</v>
      </c>
    </row>
    <row r="11" spans="1:6" ht="13.5" thickBot="1" x14ac:dyDescent="0.25">
      <c r="A11" s="505"/>
      <c r="B11" s="508"/>
      <c r="C11" s="511" t="s">
        <v>104</v>
      </c>
      <c r="D11" s="511" t="s">
        <v>104</v>
      </c>
      <c r="E11" s="511" t="s">
        <v>104</v>
      </c>
      <c r="F11" s="514" t="s">
        <v>104</v>
      </c>
    </row>
    <row r="12" spans="1:6" s="228" customFormat="1" ht="30" customHeight="1" x14ac:dyDescent="0.2">
      <c r="A12" s="283" t="s">
        <v>1</v>
      </c>
      <c r="B12" s="286" t="s">
        <v>31</v>
      </c>
      <c r="C12" s="284">
        <v>4000000</v>
      </c>
      <c r="D12" s="284">
        <v>6000000</v>
      </c>
      <c r="E12" s="284">
        <v>-3000000</v>
      </c>
      <c r="F12" s="285">
        <f>D12+E12</f>
        <v>3000000</v>
      </c>
    </row>
    <row r="13" spans="1:6" ht="17.100000000000001" customHeight="1" x14ac:dyDescent="0.2">
      <c r="A13" s="28" t="s">
        <v>2</v>
      </c>
      <c r="B13" s="243" t="s">
        <v>177</v>
      </c>
      <c r="C13" s="168">
        <v>1054500</v>
      </c>
      <c r="D13" s="168">
        <v>1054500</v>
      </c>
      <c r="E13" s="168">
        <v>0</v>
      </c>
      <c r="F13" s="214">
        <f t="shared" ref="F13:F17" si="0">D13+E13</f>
        <v>1054500</v>
      </c>
    </row>
    <row r="14" spans="1:6" ht="17.100000000000001" customHeight="1" x14ac:dyDescent="0.2">
      <c r="A14" s="138" t="s">
        <v>4</v>
      </c>
      <c r="B14" s="243" t="s">
        <v>178</v>
      </c>
      <c r="C14" s="168">
        <v>50000</v>
      </c>
      <c r="D14" s="168">
        <v>50000</v>
      </c>
      <c r="E14" s="168">
        <v>0</v>
      </c>
      <c r="F14" s="214">
        <f t="shared" si="0"/>
        <v>50000</v>
      </c>
    </row>
    <row r="15" spans="1:6" ht="17.100000000000001" customHeight="1" x14ac:dyDescent="0.2">
      <c r="A15" s="28" t="s">
        <v>5</v>
      </c>
      <c r="B15" s="243" t="s">
        <v>179</v>
      </c>
      <c r="C15" s="169">
        <v>50000</v>
      </c>
      <c r="D15" s="169">
        <v>50000</v>
      </c>
      <c r="E15" s="169">
        <v>0</v>
      </c>
      <c r="F15" s="214">
        <f t="shared" si="0"/>
        <v>50000</v>
      </c>
    </row>
    <row r="16" spans="1:6" ht="17.100000000000001" customHeight="1" x14ac:dyDescent="0.2">
      <c r="A16" s="138" t="s">
        <v>7</v>
      </c>
      <c r="B16" s="243" t="s">
        <v>180</v>
      </c>
      <c r="C16" s="168">
        <v>169500</v>
      </c>
      <c r="D16" s="168">
        <v>169500</v>
      </c>
      <c r="E16" s="223">
        <v>0</v>
      </c>
      <c r="F16" s="214">
        <f t="shared" si="0"/>
        <v>169500</v>
      </c>
    </row>
    <row r="17" spans="1:6" ht="17.100000000000001" customHeight="1" x14ac:dyDescent="0.2">
      <c r="A17" s="138" t="s">
        <v>28</v>
      </c>
      <c r="B17" s="287" t="s">
        <v>249</v>
      </c>
      <c r="C17" s="171">
        <v>0</v>
      </c>
      <c r="D17" s="171">
        <v>0</v>
      </c>
      <c r="E17" s="171">
        <v>3000000</v>
      </c>
      <c r="F17" s="214">
        <f t="shared" si="0"/>
        <v>3000000</v>
      </c>
    </row>
    <row r="18" spans="1:6" ht="17.100000000000001" customHeight="1" thickBot="1" x14ac:dyDescent="0.25">
      <c r="A18" s="138" t="s">
        <v>89</v>
      </c>
      <c r="B18" s="287" t="s">
        <v>248</v>
      </c>
      <c r="C18" s="171">
        <v>0</v>
      </c>
      <c r="D18" s="171">
        <v>0</v>
      </c>
      <c r="E18" s="171">
        <v>50000</v>
      </c>
      <c r="F18" s="214">
        <f t="shared" ref="F18" si="1">D18+E18</f>
        <v>50000</v>
      </c>
    </row>
    <row r="19" spans="1:6" ht="17.100000000000001" customHeight="1" thickBot="1" x14ac:dyDescent="0.25">
      <c r="A19" s="501" t="s">
        <v>11</v>
      </c>
      <c r="B19" s="502"/>
      <c r="C19" s="170">
        <f>SUM(C12:C18)</f>
        <v>5324000</v>
      </c>
      <c r="D19" s="170">
        <f t="shared" ref="D19:F19" si="2">SUM(D12:D18)</f>
        <v>7324000</v>
      </c>
      <c r="E19" s="170">
        <f>SUM(E12:E18)</f>
        <v>50000</v>
      </c>
      <c r="F19" s="164">
        <f t="shared" si="2"/>
        <v>7374000</v>
      </c>
    </row>
    <row r="20" spans="1:6" ht="18.75" x14ac:dyDescent="0.3">
      <c r="A20" s="165"/>
      <c r="B20" s="166"/>
    </row>
    <row r="21" spans="1:6" x14ac:dyDescent="0.25">
      <c r="C21" s="71"/>
      <c r="D21" s="71"/>
    </row>
    <row r="22" spans="1:6" ht="23.25" x14ac:dyDescent="0.35">
      <c r="B22" s="167"/>
    </row>
    <row r="23" spans="1:6" x14ac:dyDescent="0.25">
      <c r="C23" s="71"/>
      <c r="D23" s="71"/>
    </row>
  </sheetData>
  <mergeCells count="14">
    <mergeCell ref="A19:B19"/>
    <mergeCell ref="A9:A11"/>
    <mergeCell ref="B9:B11"/>
    <mergeCell ref="C9:C11"/>
    <mergeCell ref="A1:F1"/>
    <mergeCell ref="A2:F2"/>
    <mergeCell ref="A7:F7"/>
    <mergeCell ref="E9:E11"/>
    <mergeCell ref="F9:F11"/>
    <mergeCell ref="C8:F8"/>
    <mergeCell ref="A4:F4"/>
    <mergeCell ref="A5:F5"/>
    <mergeCell ref="A6:F6"/>
    <mergeCell ref="D9:D11"/>
  </mergeCells>
  <pageMargins left="0.51181102362204722" right="0.51181102362204722" top="0.55118110236220474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G30"/>
  <sheetViews>
    <sheetView topLeftCell="A16" zoomScaleNormal="100" zoomScaleSheetLayoutView="100" workbookViewId="0">
      <selection activeCell="B33" sqref="B33"/>
    </sheetView>
  </sheetViews>
  <sheetFormatPr defaultColWidth="9.140625" defaultRowHeight="15.75" x14ac:dyDescent="0.25"/>
  <cols>
    <col min="1" max="1" width="5.42578125" style="4" customWidth="1"/>
    <col min="2" max="2" width="94.7109375" style="15" customWidth="1"/>
    <col min="3" max="4" width="12.7109375" style="10" customWidth="1"/>
    <col min="5" max="6" width="12.7109375" style="3" customWidth="1"/>
    <col min="7" max="16384" width="9.140625" style="3"/>
  </cols>
  <sheetData>
    <row r="1" spans="1:7" ht="15" customHeight="1" x14ac:dyDescent="0.2">
      <c r="A1" s="381" t="s">
        <v>209</v>
      </c>
      <c r="B1" s="381"/>
      <c r="C1" s="381"/>
      <c r="D1" s="381"/>
      <c r="E1" s="381"/>
      <c r="F1" s="381"/>
      <c r="G1" s="43"/>
    </row>
    <row r="2" spans="1:7" ht="15" customHeight="1" x14ac:dyDescent="0.2">
      <c r="A2" s="381" t="s">
        <v>210</v>
      </c>
      <c r="B2" s="381"/>
      <c r="C2" s="381"/>
      <c r="D2" s="381"/>
      <c r="E2" s="381"/>
      <c r="F2" s="381"/>
      <c r="G2" s="43"/>
    </row>
    <row r="3" spans="1:7" ht="15" customHeight="1" x14ac:dyDescent="0.25">
      <c r="A3" s="12"/>
      <c r="B3" s="9"/>
      <c r="C3" s="71"/>
      <c r="D3" s="71"/>
    </row>
    <row r="4" spans="1:7" ht="15" customHeight="1" x14ac:dyDescent="0.25">
      <c r="A4" s="372" t="s">
        <v>162</v>
      </c>
      <c r="B4" s="372"/>
      <c r="C4" s="372"/>
      <c r="D4" s="372"/>
      <c r="E4" s="372"/>
      <c r="F4" s="372"/>
    </row>
    <row r="5" spans="1:7" ht="15" customHeight="1" x14ac:dyDescent="0.25">
      <c r="A5" s="372" t="s">
        <v>252</v>
      </c>
      <c r="B5" s="372"/>
      <c r="C5" s="372"/>
      <c r="D5" s="372"/>
      <c r="E5" s="372"/>
      <c r="F5" s="372"/>
    </row>
    <row r="6" spans="1:7" ht="15" customHeight="1" x14ac:dyDescent="0.25">
      <c r="A6" s="372" t="s">
        <v>194</v>
      </c>
      <c r="B6" s="372"/>
      <c r="C6" s="372"/>
      <c r="D6" s="372"/>
      <c r="E6" s="372"/>
      <c r="F6" s="372"/>
    </row>
    <row r="7" spans="1:7" ht="15" customHeight="1" x14ac:dyDescent="0.25">
      <c r="A7" s="372" t="s">
        <v>246</v>
      </c>
      <c r="B7" s="372"/>
      <c r="C7" s="372"/>
      <c r="D7" s="372"/>
      <c r="E7" s="372"/>
      <c r="F7" s="372"/>
    </row>
    <row r="8" spans="1:7" ht="15" customHeight="1" thickBot="1" x14ac:dyDescent="0.3">
      <c r="B8" s="13"/>
      <c r="F8" s="14" t="s">
        <v>155</v>
      </c>
    </row>
    <row r="9" spans="1:7" ht="18" customHeight="1" x14ac:dyDescent="0.2">
      <c r="A9" s="517" t="s">
        <v>9</v>
      </c>
      <c r="B9" s="519" t="s">
        <v>35</v>
      </c>
      <c r="C9" s="509" t="s">
        <v>38</v>
      </c>
      <c r="D9" s="521" t="s">
        <v>104</v>
      </c>
      <c r="E9" s="521" t="s">
        <v>140</v>
      </c>
      <c r="F9" s="527" t="s">
        <v>104</v>
      </c>
    </row>
    <row r="10" spans="1:7" ht="18" customHeight="1" thickBot="1" x14ac:dyDescent="0.25">
      <c r="A10" s="518"/>
      <c r="B10" s="520"/>
      <c r="C10" s="511" t="s">
        <v>104</v>
      </c>
      <c r="D10" s="522" t="s">
        <v>104</v>
      </c>
      <c r="E10" s="522"/>
      <c r="F10" s="528" t="s">
        <v>104</v>
      </c>
    </row>
    <row r="11" spans="1:7" s="1" customFormat="1" ht="17.100000000000001" customHeight="1" x14ac:dyDescent="0.2">
      <c r="A11" s="529" t="s">
        <v>32</v>
      </c>
      <c r="B11" s="530"/>
      <c r="C11" s="530"/>
      <c r="D11" s="530"/>
      <c r="E11" s="530"/>
      <c r="F11" s="531"/>
    </row>
    <row r="12" spans="1:7" s="1" customFormat="1" ht="17.100000000000001" customHeight="1" x14ac:dyDescent="0.2">
      <c r="A12" s="532" t="s">
        <v>100</v>
      </c>
      <c r="B12" s="533"/>
      <c r="C12" s="533"/>
      <c r="D12" s="533"/>
      <c r="E12" s="533"/>
      <c r="F12" s="534"/>
    </row>
    <row r="13" spans="1:7" s="1" customFormat="1" ht="17.100000000000001" customHeight="1" x14ac:dyDescent="0.2">
      <c r="A13" s="28" t="s">
        <v>1</v>
      </c>
      <c r="B13" s="175" t="s">
        <v>181</v>
      </c>
      <c r="C13" s="223">
        <v>2000000</v>
      </c>
      <c r="D13" s="223">
        <v>2000000</v>
      </c>
      <c r="E13" s="222">
        <v>0</v>
      </c>
      <c r="F13" s="76">
        <f>D13+E13</f>
        <v>2000000</v>
      </c>
    </row>
    <row r="14" spans="1:7" s="1" customFormat="1" ht="17.100000000000001" customHeight="1" x14ac:dyDescent="0.2">
      <c r="A14" s="29" t="s">
        <v>2</v>
      </c>
      <c r="B14" s="175" t="s">
        <v>182</v>
      </c>
      <c r="C14" s="223">
        <v>250000</v>
      </c>
      <c r="D14" s="223">
        <v>250000</v>
      </c>
      <c r="E14" s="222">
        <v>0</v>
      </c>
      <c r="F14" s="76">
        <f t="shared" ref="F14:F19" si="0">D14+E14</f>
        <v>250000</v>
      </c>
    </row>
    <row r="15" spans="1:7" s="1" customFormat="1" ht="17.100000000000001" customHeight="1" x14ac:dyDescent="0.2">
      <c r="A15" s="29" t="s">
        <v>4</v>
      </c>
      <c r="B15" s="175" t="s">
        <v>183</v>
      </c>
      <c r="C15" s="223">
        <v>283673</v>
      </c>
      <c r="D15" s="223">
        <v>283673</v>
      </c>
      <c r="E15" s="222">
        <v>0</v>
      </c>
      <c r="F15" s="76">
        <f t="shared" si="0"/>
        <v>283673</v>
      </c>
    </row>
    <row r="16" spans="1:7" s="1" customFormat="1" ht="17.100000000000001" customHeight="1" x14ac:dyDescent="0.2">
      <c r="A16" s="28" t="s">
        <v>5</v>
      </c>
      <c r="B16" s="175" t="s">
        <v>184</v>
      </c>
      <c r="C16" s="223">
        <v>191995</v>
      </c>
      <c r="D16" s="223">
        <v>191995</v>
      </c>
      <c r="E16" s="222">
        <v>0</v>
      </c>
      <c r="F16" s="76">
        <f t="shared" si="0"/>
        <v>191995</v>
      </c>
    </row>
    <row r="17" spans="1:6" s="228" customFormat="1" ht="30" customHeight="1" x14ac:dyDescent="0.2">
      <c r="A17" s="224" t="s">
        <v>7</v>
      </c>
      <c r="B17" s="225" t="s">
        <v>211</v>
      </c>
      <c r="C17" s="226">
        <v>1131539</v>
      </c>
      <c r="D17" s="226">
        <v>1131539</v>
      </c>
      <c r="E17" s="227">
        <v>0</v>
      </c>
      <c r="F17" s="76">
        <f t="shared" si="0"/>
        <v>1131539</v>
      </c>
    </row>
    <row r="18" spans="1:6" s="1" customFormat="1" ht="30" customHeight="1" x14ac:dyDescent="0.2">
      <c r="A18" s="29" t="s">
        <v>28</v>
      </c>
      <c r="B18" s="225" t="s">
        <v>221</v>
      </c>
      <c r="C18" s="171">
        <v>0</v>
      </c>
      <c r="D18" s="171">
        <v>482525</v>
      </c>
      <c r="E18" s="75">
        <v>0</v>
      </c>
      <c r="F18" s="76">
        <f t="shared" si="0"/>
        <v>482525</v>
      </c>
    </row>
    <row r="19" spans="1:6" s="1" customFormat="1" ht="17.100000000000001" customHeight="1" x14ac:dyDescent="0.2">
      <c r="A19" s="288" t="s">
        <v>89</v>
      </c>
      <c r="B19" s="256" t="s">
        <v>254</v>
      </c>
      <c r="C19" s="289">
        <v>0</v>
      </c>
      <c r="D19" s="171">
        <v>0</v>
      </c>
      <c r="E19" s="75">
        <v>25000000</v>
      </c>
      <c r="F19" s="76">
        <f t="shared" si="0"/>
        <v>25000000</v>
      </c>
    </row>
    <row r="20" spans="1:6" s="1" customFormat="1" ht="17.100000000000001" customHeight="1" x14ac:dyDescent="0.2">
      <c r="A20" s="535" t="s">
        <v>102</v>
      </c>
      <c r="B20" s="536"/>
      <c r="C20" s="173">
        <f>SUM(C13:C19)</f>
        <v>3857207</v>
      </c>
      <c r="D20" s="174">
        <f>SUM(D13:D19)</f>
        <v>4339732</v>
      </c>
      <c r="E20" s="174">
        <f>SUM(E13:E19)</f>
        <v>25000000</v>
      </c>
      <c r="F20" s="172">
        <f>SUM(F13:F19)</f>
        <v>29339732</v>
      </c>
    </row>
    <row r="21" spans="1:6" s="1" customFormat="1" ht="17.100000000000001" customHeight="1" thickBot="1" x14ac:dyDescent="0.25">
      <c r="A21" s="542" t="s">
        <v>36</v>
      </c>
      <c r="B21" s="543"/>
      <c r="C21" s="215">
        <f>C20</f>
        <v>3857207</v>
      </c>
      <c r="D21" s="216">
        <f t="shared" ref="D21:F21" si="1">D20</f>
        <v>4339732</v>
      </c>
      <c r="E21" s="216">
        <f t="shared" si="1"/>
        <v>25000000</v>
      </c>
      <c r="F21" s="276">
        <f t="shared" si="1"/>
        <v>29339732</v>
      </c>
    </row>
    <row r="22" spans="1:6" s="8" customFormat="1" ht="17.100000000000001" customHeight="1" x14ac:dyDescent="0.2">
      <c r="A22" s="529" t="s">
        <v>33</v>
      </c>
      <c r="B22" s="530"/>
      <c r="C22" s="530"/>
      <c r="D22" s="530"/>
      <c r="E22" s="530"/>
      <c r="F22" s="531"/>
    </row>
    <row r="23" spans="1:6" s="8" customFormat="1" ht="17.100000000000001" customHeight="1" x14ac:dyDescent="0.2">
      <c r="A23" s="539" t="s">
        <v>101</v>
      </c>
      <c r="B23" s="540"/>
      <c r="C23" s="540"/>
      <c r="D23" s="540"/>
      <c r="E23" s="540"/>
      <c r="F23" s="541"/>
    </row>
    <row r="24" spans="1:6" s="26" customFormat="1" ht="17.100000000000001" customHeight="1" x14ac:dyDescent="0.2">
      <c r="A24" s="28" t="s">
        <v>153</v>
      </c>
      <c r="B24" s="176" t="s">
        <v>31</v>
      </c>
      <c r="C24" s="42">
        <v>4000000</v>
      </c>
      <c r="D24" s="42">
        <v>6000000</v>
      </c>
      <c r="E24" s="279">
        <v>-3000000</v>
      </c>
      <c r="F24" s="280">
        <f>D24+E24</f>
        <v>3000000</v>
      </c>
    </row>
    <row r="25" spans="1:6" s="1" customFormat="1" ht="17.100000000000001" customHeight="1" x14ac:dyDescent="0.2">
      <c r="A25" s="535" t="s">
        <v>103</v>
      </c>
      <c r="B25" s="536"/>
      <c r="C25" s="80">
        <f>SUM(C24:C24)</f>
        <v>4000000</v>
      </c>
      <c r="D25" s="81">
        <f t="shared" ref="D25:F25" si="2">SUM(D24:D24)</f>
        <v>6000000</v>
      </c>
      <c r="E25" s="80">
        <f t="shared" si="2"/>
        <v>-3000000</v>
      </c>
      <c r="F25" s="281">
        <f t="shared" si="2"/>
        <v>3000000</v>
      </c>
    </row>
    <row r="26" spans="1:6" s="1" customFormat="1" ht="17.100000000000001" customHeight="1" thickBot="1" x14ac:dyDescent="0.25">
      <c r="A26" s="537" t="s">
        <v>11</v>
      </c>
      <c r="B26" s="538"/>
      <c r="C26" s="277">
        <f>C25</f>
        <v>4000000</v>
      </c>
      <c r="D26" s="278">
        <f t="shared" ref="D26:F26" si="3">D25</f>
        <v>6000000</v>
      </c>
      <c r="E26" s="277">
        <f t="shared" si="3"/>
        <v>-3000000</v>
      </c>
      <c r="F26" s="282">
        <f t="shared" si="3"/>
        <v>3000000</v>
      </c>
    </row>
    <row r="27" spans="1:6" s="1" customFormat="1" ht="17.100000000000001" customHeight="1" thickBot="1" x14ac:dyDescent="0.25">
      <c r="A27" s="523" t="s">
        <v>91</v>
      </c>
      <c r="B27" s="524"/>
      <c r="C27" s="77">
        <f>C21+C26</f>
        <v>7857207</v>
      </c>
      <c r="D27" s="77">
        <f>D21+D26</f>
        <v>10339732</v>
      </c>
      <c r="E27" s="78">
        <f>E21+E26</f>
        <v>22000000</v>
      </c>
      <c r="F27" s="79">
        <f>F21+F26</f>
        <v>32339732</v>
      </c>
    </row>
    <row r="28" spans="1:6" ht="17.100000000000001" customHeight="1" x14ac:dyDescent="0.25"/>
    <row r="29" spans="1:6" ht="17.100000000000001" customHeight="1" x14ac:dyDescent="0.25">
      <c r="A29" s="525"/>
      <c r="B29" s="526"/>
      <c r="C29" s="71"/>
      <c r="D29" s="71"/>
    </row>
    <row r="30" spans="1:6" ht="17.100000000000001" customHeight="1" x14ac:dyDescent="0.3">
      <c r="B30" s="32"/>
    </row>
  </sheetData>
  <mergeCells count="22">
    <mergeCell ref="A27:B27"/>
    <mergeCell ref="A29:B29"/>
    <mergeCell ref="E9:E10"/>
    <mergeCell ref="F9:F10"/>
    <mergeCell ref="A11:F11"/>
    <mergeCell ref="A12:F12"/>
    <mergeCell ref="A22:F22"/>
    <mergeCell ref="A25:B25"/>
    <mergeCell ref="A26:B26"/>
    <mergeCell ref="A23:F23"/>
    <mergeCell ref="A20:B20"/>
    <mergeCell ref="A21:B21"/>
    <mergeCell ref="A1:F1"/>
    <mergeCell ref="A2:F2"/>
    <mergeCell ref="A4:F4"/>
    <mergeCell ref="A9:A10"/>
    <mergeCell ref="B9:B10"/>
    <mergeCell ref="C9:C10"/>
    <mergeCell ref="A5:F5"/>
    <mergeCell ref="A6:F6"/>
    <mergeCell ref="A7:F7"/>
    <mergeCell ref="D9:D10"/>
  </mergeCells>
  <phoneticPr fontId="30" type="noConversion"/>
  <printOptions horizontalCentered="1"/>
  <pageMargins left="0.19685039370078741" right="0.19685039370078741" top="0" bottom="0" header="0.98425196850393704" footer="0.51181102362204722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2C5A-0A74-4515-B160-32E9BED388A3}">
  <sheetPr>
    <tabColor theme="6" tint="0.59999389629810485"/>
  </sheetPr>
  <dimension ref="A1:F32"/>
  <sheetViews>
    <sheetView zoomScaleNormal="100" workbookViewId="0">
      <selection activeCell="J28" sqref="J28"/>
    </sheetView>
  </sheetViews>
  <sheetFormatPr defaultRowHeight="12.75" x14ac:dyDescent="0.2"/>
  <cols>
    <col min="1" max="1" width="6.42578125" customWidth="1"/>
    <col min="2" max="2" width="102.28515625" customWidth="1"/>
    <col min="3" max="6" width="12.42578125" style="258" customWidth="1"/>
  </cols>
  <sheetData>
    <row r="1" spans="1:6" ht="14.25" x14ac:dyDescent="0.2">
      <c r="A1" s="381" t="s">
        <v>224</v>
      </c>
      <c r="B1" s="381"/>
      <c r="C1" s="381"/>
      <c r="D1" s="381"/>
      <c r="E1" s="381"/>
      <c r="F1" s="381"/>
    </row>
    <row r="2" spans="1:6" ht="14.25" x14ac:dyDescent="0.2">
      <c r="A2" s="381" t="s">
        <v>247</v>
      </c>
      <c r="B2" s="381"/>
      <c r="C2" s="381"/>
      <c r="D2" s="381"/>
      <c r="E2" s="381"/>
      <c r="F2" s="381"/>
    </row>
    <row r="3" spans="1:6" x14ac:dyDescent="0.2">
      <c r="A3" s="74"/>
      <c r="B3" s="74"/>
      <c r="C3" s="74"/>
      <c r="D3" s="74"/>
      <c r="E3" s="74"/>
      <c r="F3" s="74"/>
    </row>
    <row r="4" spans="1:6" ht="15.75" x14ac:dyDescent="0.25">
      <c r="A4" s="372" t="s">
        <v>162</v>
      </c>
      <c r="B4" s="372"/>
      <c r="C4" s="372"/>
      <c r="D4" s="372"/>
      <c r="E4" s="372"/>
      <c r="F4" s="372"/>
    </row>
    <row r="5" spans="1:6" ht="15.75" x14ac:dyDescent="0.25">
      <c r="A5" s="407" t="s">
        <v>225</v>
      </c>
      <c r="B5" s="407"/>
      <c r="C5" s="407"/>
      <c r="D5" s="407"/>
      <c r="E5" s="407"/>
      <c r="F5" s="407"/>
    </row>
    <row r="6" spans="1:6" ht="15.75" x14ac:dyDescent="0.25">
      <c r="A6" s="372" t="s">
        <v>194</v>
      </c>
      <c r="B6" s="372"/>
      <c r="C6" s="372"/>
      <c r="D6" s="372"/>
      <c r="E6" s="372"/>
      <c r="F6" s="372"/>
    </row>
    <row r="7" spans="1:6" ht="15.75" x14ac:dyDescent="0.25">
      <c r="A7" s="546" t="s">
        <v>246</v>
      </c>
      <c r="B7" s="546"/>
      <c r="C7" s="546"/>
      <c r="D7" s="546"/>
      <c r="E7" s="546"/>
      <c r="F7" s="546"/>
    </row>
    <row r="8" spans="1:6" ht="16.5" thickBot="1" x14ac:dyDescent="0.3">
      <c r="A8" s="550"/>
      <c r="B8" s="550"/>
      <c r="C8" s="550"/>
      <c r="D8" s="39"/>
      <c r="E8" s="39"/>
      <c r="F8" s="39" t="s">
        <v>155</v>
      </c>
    </row>
    <row r="9" spans="1:6" ht="36" customHeight="1" thickBot="1" x14ac:dyDescent="0.25">
      <c r="A9" s="272" t="s">
        <v>9</v>
      </c>
      <c r="B9" s="273" t="s">
        <v>226</v>
      </c>
      <c r="C9" s="274" t="s">
        <v>38</v>
      </c>
      <c r="D9" s="274" t="s">
        <v>104</v>
      </c>
      <c r="E9" s="274" t="s">
        <v>140</v>
      </c>
      <c r="F9" s="275" t="s">
        <v>104</v>
      </c>
    </row>
    <row r="10" spans="1:6" ht="17.100000000000001" customHeight="1" x14ac:dyDescent="0.2">
      <c r="A10" s="547" t="s">
        <v>227</v>
      </c>
      <c r="B10" s="548"/>
      <c r="C10" s="548"/>
      <c r="D10" s="548"/>
      <c r="E10" s="548"/>
      <c r="F10" s="549"/>
    </row>
    <row r="11" spans="1:6" ht="17.100000000000001" customHeight="1" x14ac:dyDescent="0.2">
      <c r="A11" s="247" t="s">
        <v>1</v>
      </c>
      <c r="B11" s="268" t="s">
        <v>228</v>
      </c>
      <c r="C11" s="269">
        <v>2794000</v>
      </c>
      <c r="D11" s="269">
        <v>2794000</v>
      </c>
      <c r="E11" s="270">
        <v>-1524000</v>
      </c>
      <c r="F11" s="271">
        <f>D11+E11</f>
        <v>1270000</v>
      </c>
    </row>
    <row r="12" spans="1:6" ht="17.100000000000001" customHeight="1" x14ac:dyDescent="0.2">
      <c r="A12" s="244" t="s">
        <v>2</v>
      </c>
      <c r="B12" s="245" t="s">
        <v>229</v>
      </c>
      <c r="C12" s="259">
        <v>5554091</v>
      </c>
      <c r="D12" s="259">
        <v>5554091</v>
      </c>
      <c r="E12" s="266">
        <v>0</v>
      </c>
      <c r="F12" s="271">
        <f t="shared" ref="F12:F25" si="0">D12+E12</f>
        <v>5554091</v>
      </c>
    </row>
    <row r="13" spans="1:6" ht="17.100000000000001" customHeight="1" x14ac:dyDescent="0.2">
      <c r="A13" s="247" t="s">
        <v>4</v>
      </c>
      <c r="B13" s="248" t="s">
        <v>230</v>
      </c>
      <c r="C13" s="259">
        <v>17840805</v>
      </c>
      <c r="D13" s="259">
        <v>17840805</v>
      </c>
      <c r="E13" s="266">
        <v>0</v>
      </c>
      <c r="F13" s="271">
        <f t="shared" si="0"/>
        <v>17840805</v>
      </c>
    </row>
    <row r="14" spans="1:6" ht="17.100000000000001" customHeight="1" x14ac:dyDescent="0.2">
      <c r="A14" s="244" t="s">
        <v>5</v>
      </c>
      <c r="B14" s="249" t="s">
        <v>231</v>
      </c>
      <c r="C14" s="260">
        <v>27483222</v>
      </c>
      <c r="D14" s="260">
        <v>27483222</v>
      </c>
      <c r="E14" s="266">
        <v>0</v>
      </c>
      <c r="F14" s="271">
        <f t="shared" si="0"/>
        <v>27483222</v>
      </c>
    </row>
    <row r="15" spans="1:6" ht="17.100000000000001" customHeight="1" x14ac:dyDescent="0.2">
      <c r="A15" s="247" t="s">
        <v>7</v>
      </c>
      <c r="B15" s="250" t="s">
        <v>232</v>
      </c>
      <c r="C15" s="261">
        <v>52113449</v>
      </c>
      <c r="D15" s="261">
        <v>52113449</v>
      </c>
      <c r="E15" s="267">
        <v>0</v>
      </c>
      <c r="F15" s="271">
        <f t="shared" si="0"/>
        <v>52113449</v>
      </c>
    </row>
    <row r="16" spans="1:6" ht="17.100000000000001" customHeight="1" x14ac:dyDescent="0.2">
      <c r="A16" s="244" t="s">
        <v>28</v>
      </c>
      <c r="B16" s="251" t="s">
        <v>233</v>
      </c>
      <c r="C16" s="259">
        <v>6000000</v>
      </c>
      <c r="D16" s="259">
        <v>6000000</v>
      </c>
      <c r="E16" s="266">
        <v>0</v>
      </c>
      <c r="F16" s="271">
        <f t="shared" si="0"/>
        <v>6000000</v>
      </c>
    </row>
    <row r="17" spans="1:6" ht="17.100000000000001" customHeight="1" x14ac:dyDescent="0.2">
      <c r="A17" s="247" t="s">
        <v>89</v>
      </c>
      <c r="B17" s="252" t="s">
        <v>234</v>
      </c>
      <c r="C17" s="262">
        <v>287000</v>
      </c>
      <c r="D17" s="262">
        <v>287000</v>
      </c>
      <c r="E17" s="266">
        <v>0</v>
      </c>
      <c r="F17" s="271">
        <f t="shared" si="0"/>
        <v>287000</v>
      </c>
    </row>
    <row r="18" spans="1:6" ht="17.100000000000001" customHeight="1" x14ac:dyDescent="0.2">
      <c r="A18" s="244" t="s">
        <v>153</v>
      </c>
      <c r="B18" s="250" t="s">
        <v>235</v>
      </c>
      <c r="C18" s="260">
        <v>77003125</v>
      </c>
      <c r="D18" s="260">
        <v>77003125</v>
      </c>
      <c r="E18" s="266">
        <v>0</v>
      </c>
      <c r="F18" s="271">
        <f t="shared" si="0"/>
        <v>77003125</v>
      </c>
    </row>
    <row r="19" spans="1:6" ht="17.100000000000001" customHeight="1" x14ac:dyDescent="0.2">
      <c r="A19" s="247" t="s">
        <v>154</v>
      </c>
      <c r="B19" s="250" t="s">
        <v>236</v>
      </c>
      <c r="C19" s="260">
        <v>59205640</v>
      </c>
      <c r="D19" s="260">
        <v>59205640</v>
      </c>
      <c r="E19" s="266">
        <v>0</v>
      </c>
      <c r="F19" s="271">
        <f t="shared" si="0"/>
        <v>59205640</v>
      </c>
    </row>
    <row r="20" spans="1:6" ht="17.100000000000001" customHeight="1" x14ac:dyDescent="0.2">
      <c r="A20" s="244" t="s">
        <v>149</v>
      </c>
      <c r="B20" s="249" t="s">
        <v>237</v>
      </c>
      <c r="C20" s="260">
        <v>35485769</v>
      </c>
      <c r="D20" s="260">
        <v>35485769</v>
      </c>
      <c r="E20" s="266">
        <v>-4628579</v>
      </c>
      <c r="F20" s="271">
        <f t="shared" si="0"/>
        <v>30857190</v>
      </c>
    </row>
    <row r="21" spans="1:6" ht="17.100000000000001" customHeight="1" x14ac:dyDescent="0.2">
      <c r="A21" s="558" t="s">
        <v>129</v>
      </c>
      <c r="B21" s="249" t="s">
        <v>238</v>
      </c>
      <c r="C21" s="260">
        <v>70773049</v>
      </c>
      <c r="D21" s="260">
        <v>70773049</v>
      </c>
      <c r="E21" s="266">
        <f>18028579</f>
        <v>18028579</v>
      </c>
      <c r="F21" s="271">
        <f t="shared" si="0"/>
        <v>88801628</v>
      </c>
    </row>
    <row r="22" spans="1:6" ht="17.100000000000001" customHeight="1" x14ac:dyDescent="0.2">
      <c r="A22" s="559"/>
      <c r="B22" s="249" t="s">
        <v>251</v>
      </c>
      <c r="C22" s="260">
        <v>0</v>
      </c>
      <c r="D22" s="260">
        <v>0</v>
      </c>
      <c r="E22" s="266">
        <v>166861542</v>
      </c>
      <c r="F22" s="271">
        <f t="shared" ref="F22" si="1">D22+E22</f>
        <v>166861542</v>
      </c>
    </row>
    <row r="23" spans="1:6" ht="17.100000000000001" customHeight="1" x14ac:dyDescent="0.2">
      <c r="A23" s="244" t="s">
        <v>130</v>
      </c>
      <c r="B23" s="249" t="s">
        <v>239</v>
      </c>
      <c r="C23" s="260">
        <v>43332199</v>
      </c>
      <c r="D23" s="260">
        <v>43332199</v>
      </c>
      <c r="E23" s="266">
        <v>0</v>
      </c>
      <c r="F23" s="271">
        <f t="shared" si="0"/>
        <v>43332199</v>
      </c>
    </row>
    <row r="24" spans="1:6" ht="17.100000000000001" customHeight="1" x14ac:dyDescent="0.2">
      <c r="A24" s="247" t="s">
        <v>131</v>
      </c>
      <c r="B24" s="249" t="s">
        <v>240</v>
      </c>
      <c r="C24" s="259">
        <v>36920500</v>
      </c>
      <c r="D24" s="259">
        <v>36920500</v>
      </c>
      <c r="E24" s="266">
        <v>0</v>
      </c>
      <c r="F24" s="271">
        <f t="shared" si="0"/>
        <v>36920500</v>
      </c>
    </row>
    <row r="25" spans="1:6" ht="17.100000000000001" customHeight="1" x14ac:dyDescent="0.2">
      <c r="A25" s="244" t="s">
        <v>132</v>
      </c>
      <c r="B25" s="249" t="s">
        <v>250</v>
      </c>
      <c r="C25" s="259">
        <v>0</v>
      </c>
      <c r="D25" s="259">
        <v>0</v>
      </c>
      <c r="E25" s="259">
        <v>16786700</v>
      </c>
      <c r="F25" s="246">
        <f t="shared" si="0"/>
        <v>16786700</v>
      </c>
    </row>
    <row r="26" spans="1:6" s="254" customFormat="1" ht="17.100000000000001" customHeight="1" thickBot="1" x14ac:dyDescent="0.25">
      <c r="A26" s="551" t="s">
        <v>241</v>
      </c>
      <c r="B26" s="552"/>
      <c r="C26" s="263">
        <f>SUM(C11:C25)</f>
        <v>434792849</v>
      </c>
      <c r="D26" s="263">
        <f>SUM(D11:D25)</f>
        <v>434792849</v>
      </c>
      <c r="E26" s="263">
        <f>SUM(E11:E25)</f>
        <v>195524242</v>
      </c>
      <c r="F26" s="253">
        <f>SUM(F11:F25)</f>
        <v>630317091</v>
      </c>
    </row>
    <row r="27" spans="1:6" ht="17.100000000000001" customHeight="1" x14ac:dyDescent="0.2">
      <c r="A27" s="555" t="s">
        <v>242</v>
      </c>
      <c r="B27" s="556"/>
      <c r="C27" s="556"/>
      <c r="D27" s="556"/>
      <c r="E27" s="556"/>
      <c r="F27" s="557"/>
    </row>
    <row r="28" spans="1:6" ht="17.100000000000001" customHeight="1" x14ac:dyDescent="0.2">
      <c r="A28" s="255" t="s">
        <v>1</v>
      </c>
      <c r="B28" s="256" t="s">
        <v>243</v>
      </c>
      <c r="C28" s="259">
        <v>2286000</v>
      </c>
      <c r="D28" s="259">
        <v>2286000</v>
      </c>
      <c r="E28" s="266">
        <v>-1500000</v>
      </c>
      <c r="F28" s="246">
        <f>D28+E28</f>
        <v>786000</v>
      </c>
    </row>
    <row r="29" spans="1:6" s="254" customFormat="1" ht="17.100000000000001" customHeight="1" thickBot="1" x14ac:dyDescent="0.25">
      <c r="A29" s="553" t="s">
        <v>244</v>
      </c>
      <c r="B29" s="554"/>
      <c r="C29" s="264">
        <f>SUM(C28:C28)</f>
        <v>2286000</v>
      </c>
      <c r="D29" s="264">
        <f t="shared" ref="D29:F29" si="2">SUM(D28:D28)</f>
        <v>2286000</v>
      </c>
      <c r="E29" s="264">
        <f t="shared" si="2"/>
        <v>-1500000</v>
      </c>
      <c r="F29" s="86">
        <f t="shared" si="2"/>
        <v>786000</v>
      </c>
    </row>
    <row r="30" spans="1:6" ht="17.100000000000001" customHeight="1" thickBot="1" x14ac:dyDescent="0.25">
      <c r="A30" s="544" t="s">
        <v>245</v>
      </c>
      <c r="B30" s="545"/>
      <c r="C30" s="265">
        <f>C26+C29</f>
        <v>437078849</v>
      </c>
      <c r="D30" s="265">
        <f>D26+D29</f>
        <v>437078849</v>
      </c>
      <c r="E30" s="265">
        <f t="shared" ref="E30:F30" si="3">E26+E29</f>
        <v>194024242</v>
      </c>
      <c r="F30" s="257">
        <f t="shared" si="3"/>
        <v>631103091</v>
      </c>
    </row>
    <row r="31" spans="1:6" ht="17.100000000000001" customHeight="1" x14ac:dyDescent="0.2">
      <c r="A31" s="3"/>
      <c r="B31" s="3"/>
    </row>
    <row r="32" spans="1:6" ht="21.95" customHeight="1" x14ac:dyDescent="0.2"/>
  </sheetData>
  <mergeCells count="13">
    <mergeCell ref="A30:B30"/>
    <mergeCell ref="A2:F2"/>
    <mergeCell ref="A1:F1"/>
    <mergeCell ref="A4:F4"/>
    <mergeCell ref="A5:F5"/>
    <mergeCell ref="A6:F6"/>
    <mergeCell ref="A7:F7"/>
    <mergeCell ref="A10:F10"/>
    <mergeCell ref="A8:C8"/>
    <mergeCell ref="A26:B26"/>
    <mergeCell ref="A29:B29"/>
    <mergeCell ref="A27:F27"/>
    <mergeCell ref="A21:A2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14</vt:i4>
      </vt:variant>
    </vt:vector>
  </HeadingPairs>
  <TitlesOfParts>
    <vt:vector size="23" baseType="lpstr"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'1.'!Nyomtatási_cím</vt:lpstr>
      <vt:lpstr>'2.'!Nyomtatási_cím</vt:lpstr>
      <vt:lpstr>'3.'!Nyomtatási_cím</vt:lpstr>
      <vt:lpstr>'5.'!Nyomtatási_cím</vt:lpstr>
      <vt:lpstr>'6.'!Nyomtatási_cím</vt:lpstr>
      <vt:lpstr>'8.'!Nyomtatási_cím</vt:lpstr>
      <vt:lpstr>'1.'!Nyomtatási_terület</vt:lpstr>
      <vt:lpstr>'2.'!Nyomtatási_terület</vt:lpstr>
      <vt:lpstr>'3.'!Nyomtatási_terület</vt:lpstr>
      <vt:lpstr>'4.'!Nyomtatási_terület</vt:lpstr>
      <vt:lpstr>'5.'!Nyomtatási_terület</vt:lpstr>
      <vt:lpstr>'6.'!Nyomtatási_terület</vt:lpstr>
      <vt:lpstr>'8.'!Nyomtatási_terület</vt:lpstr>
      <vt:lpstr>'9.'!Nyomtatási_terület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csoport</dc:creator>
  <cp:lastModifiedBy>Mar.Norbert</cp:lastModifiedBy>
  <cp:lastPrinted>2025-09-19T12:49:34Z</cp:lastPrinted>
  <dcterms:created xsi:type="dcterms:W3CDTF">2007-02-22T10:27:43Z</dcterms:created>
  <dcterms:modified xsi:type="dcterms:W3CDTF">2025-09-19T13:34:33Z</dcterms:modified>
</cp:coreProperties>
</file>