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TP modositas 2021_27\5_mod_26_januar\Vegleges_kgy_dokumentacio\"/>
    </mc:Choice>
  </mc:AlternateContent>
  <xr:revisionPtr revIDLastSave="0" documentId="8_{9CA2CBD5-7EC8-4A4D-BC0D-3A9D789D7187}" xr6:coauthVersionLast="47" xr6:coauthVersionMax="47" xr10:uidLastSave="{00000000-0000-0000-0000-000000000000}"/>
  <bookViews>
    <workbookView xWindow="-108" yWindow="-108" windowWidth="23256" windowHeight="12456" tabRatio="331" xr2:uid="{00000000-000D-0000-FFFF-FFFF00000000}"/>
  </bookViews>
  <sheets>
    <sheet name="1. forrasösszesítő" sheetId="1" r:id="rId1"/>
    <sheet name="2. forrásösszesítő-FVS" sheetId="2" r:id="rId2"/>
    <sheet name="3. forrásösszesítő LHH" sheetId="3" r:id="rId3"/>
    <sheet name="4. intézkedések" sheetId="4" r:id="rId4"/>
    <sheet name="5. Településdifferenciálás" sheetId="15" r:id="rId5"/>
    <sheet name="6. Indikátor - vármegye" sheetId="13" r:id="rId6"/>
    <sheet name="7. Indikátor - FVS neve" sheetId="14" r:id="rId7"/>
    <sheet name=" 8. ütemezés" sheetId="10" r:id="rId8"/>
  </sheets>
  <definedNames>
    <definedName name="_xlnm._FilterDatabase" localSheetId="4" hidden="1">'5. Településdifferenciálás'!$A$3:$M$86</definedName>
    <definedName name="_xlnm._FilterDatabase" localSheetId="5" hidden="1">'6. Indikátor - vármegye'!$A$2:$J$56</definedName>
    <definedName name="_xlnm._FilterDatabase" localSheetId="6" hidden="1">'7. Indikátor - FVS neve'!$A$3:$F$48</definedName>
    <definedName name="_xlnm.Print_Titles" localSheetId="7">' 8. ütemezés'!$A:$B,' 8. ütemezés'!$7:$8</definedName>
    <definedName name="_xlnm.Print_Titles" localSheetId="0">'1. forrasösszesítő'!$9:$9</definedName>
    <definedName name="_xlnm.Print_Titles" localSheetId="5">'6. Indikátor - vármegye'!$1:$2</definedName>
    <definedName name="_xlnm.Print_Titles" localSheetId="6">'7. Indikátor - FVS neve'!$2:$3</definedName>
    <definedName name="_xlnm.Print_Area" localSheetId="7">' 8. ütemezés'!$A$2:$AF$35</definedName>
    <definedName name="_xlnm.Print_Area" localSheetId="0">'1. forrasösszesítő'!$A$6:$R$34</definedName>
    <definedName name="Z_BA39A66F_2AC6_4033_9771_EB339C8851A1_.wvu.Cols" localSheetId="0" hidden="1">'1. forrasösszesítő'!$T:$XFD</definedName>
    <definedName name="Z_BA39A66F_2AC6_4033_9771_EB339C8851A1_.wvu.PrintArea" localSheetId="0" hidden="1">'1. forrasösszesítő'!$A$6:$R$34</definedName>
    <definedName name="Z_BA39A66F_2AC6_4033_9771_EB339C8851A1_.wvu.PrintTitles" localSheetId="0" hidden="1">'1. forrasösszesítő'!$9:$9</definedName>
    <definedName name="Z_CDDE5582_318E_4169_A2B3_E6801A91775C_.wvu.Cols" localSheetId="0" hidden="1">'1. forrasösszesítő'!$T:$XFD</definedName>
    <definedName name="Z_CDDE5582_318E_4169_A2B3_E6801A91775C_.wvu.PrintArea" localSheetId="0" hidden="1">'1. forrasösszesítő'!$A$6:$R$34</definedName>
    <definedName name="Z_CDDE5582_318E_4169_A2B3_E6801A91775C_.wvu.PrintTitles" localSheetId="0" hidden="1">'1. forrasösszesítő'!$9:$9</definedName>
  </definedNames>
  <calcPr calcId="191029"/>
  <customWorkbookViews>
    <customWorkbookView name="Nagyváradi Tímea - Egyéni nézet" guid="{CDDE5582-318E-4169-A2B3-E6801A91775C}" mergeInterval="0" personalView="1" maximized="1" xWindow="-8" yWindow="-8" windowWidth="1936" windowHeight="1056" tabRatio="331" activeSheetId="8"/>
    <customWorkbookView name="Vér Ágnes - Egyéni nézet" guid="{BA39A66F-2AC6-4033-9771-EB339C8851A1}" mergeInterval="0" personalView="1" maximized="1" windowWidth="1916" windowHeight="815" tabRatio="33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1" l="1"/>
  <c r="Y10" i="10"/>
  <c r="T10" i="10"/>
  <c r="AF19" i="10"/>
  <c r="AF20" i="10"/>
  <c r="X16" i="10"/>
  <c r="Y32" i="10"/>
  <c r="P28" i="10"/>
  <c r="L23" i="1"/>
  <c r="J12" i="1"/>
  <c r="C11" i="10"/>
  <c r="H3" i="3" l="1"/>
  <c r="J3" i="3"/>
  <c r="G3" i="3"/>
  <c r="B3" i="3" l="1"/>
  <c r="R12" i="1"/>
  <c r="I3" i="3"/>
  <c r="D3" i="3"/>
  <c r="F3" i="3" s="1"/>
  <c r="F31" i="2"/>
  <c r="D27" i="2"/>
  <c r="J3" i="2"/>
  <c r="I3" i="2"/>
  <c r="K3" i="2" s="1"/>
  <c r="J61" i="1"/>
  <c r="H61" i="1"/>
  <c r="G61" i="1"/>
  <c r="E61" i="1"/>
  <c r="D61" i="1"/>
  <c r="C61" i="1"/>
  <c r="I59" i="1"/>
  <c r="I61" i="1" s="1"/>
  <c r="F59" i="1"/>
  <c r="F61" i="1" s="1"/>
  <c r="B59" i="1"/>
  <c r="B61" i="1" s="1"/>
  <c r="L50" i="1"/>
  <c r="M50" i="1"/>
  <c r="N50" i="1"/>
  <c r="R50" i="1"/>
  <c r="Q53" i="1"/>
  <c r="I53" i="1"/>
  <c r="J53" i="1"/>
  <c r="K53" i="1"/>
  <c r="L53" i="1"/>
  <c r="M53" i="1"/>
  <c r="N53" i="1"/>
  <c r="O53" i="1"/>
  <c r="P33" i="1"/>
  <c r="P29" i="1"/>
  <c r="P19" i="1"/>
  <c r="O29" i="1"/>
  <c r="Q33" i="1"/>
  <c r="Q29" i="1"/>
  <c r="M48" i="1"/>
  <c r="L48" i="1"/>
  <c r="K48" i="1"/>
  <c r="J48" i="1"/>
  <c r="J50" i="1" s="1"/>
  <c r="I48" i="1"/>
  <c r="O47" i="1"/>
  <c r="N46" i="1"/>
  <c r="L46" i="1"/>
  <c r="I46" i="1"/>
  <c r="I50" i="1" s="1"/>
  <c r="H46" i="1"/>
  <c r="R46" i="1" s="1"/>
  <c r="G45" i="1"/>
  <c r="G44" i="1"/>
  <c r="O43" i="1"/>
  <c r="M43" i="1"/>
  <c r="L43" i="1"/>
  <c r="K43" i="1"/>
  <c r="J43" i="1"/>
  <c r="I43" i="1"/>
  <c r="H43" i="1"/>
  <c r="G43" i="1"/>
  <c r="N36" i="1"/>
  <c r="R36" i="1" s="1"/>
  <c r="G35" i="1"/>
  <c r="G34" i="1"/>
  <c r="L33" i="1"/>
  <c r="K33" i="1"/>
  <c r="J33" i="1"/>
  <c r="I33" i="1"/>
  <c r="H33" i="1"/>
  <c r="O32" i="1"/>
  <c r="O33" i="1" s="1"/>
  <c r="N32" i="1"/>
  <c r="N33" i="1" s="1"/>
  <c r="M32" i="1"/>
  <c r="M33" i="1" s="1"/>
  <c r="L32" i="1"/>
  <c r="K32" i="1"/>
  <c r="J32" i="1"/>
  <c r="I32" i="1"/>
  <c r="H32" i="1"/>
  <c r="R32" i="1" s="1"/>
  <c r="N29" i="1"/>
  <c r="M29" i="1"/>
  <c r="L29" i="1"/>
  <c r="K29" i="1"/>
  <c r="J29" i="1"/>
  <c r="I29" i="1"/>
  <c r="H29" i="1"/>
  <c r="G28" i="1"/>
  <c r="G29" i="1" s="1"/>
  <c r="M23" i="1"/>
  <c r="G21" i="1"/>
  <c r="G20" i="1"/>
  <c r="G22" i="1" s="1"/>
  <c r="O19" i="1"/>
  <c r="N19" i="1"/>
  <c r="M19" i="1"/>
  <c r="L19" i="1"/>
  <c r="K19" i="1"/>
  <c r="N16" i="1"/>
  <c r="M16" i="1"/>
  <c r="O12" i="1"/>
  <c r="N12" i="1"/>
  <c r="J19" i="1"/>
  <c r="I12" i="1"/>
  <c r="I19" i="1" s="1"/>
  <c r="H12" i="1"/>
  <c r="H19" i="1" s="1"/>
  <c r="O11" i="1"/>
  <c r="N11" i="1"/>
  <c r="M11" i="1"/>
  <c r="L11" i="1"/>
  <c r="K11" i="1"/>
  <c r="J11" i="1"/>
  <c r="I11" i="1"/>
  <c r="H11" i="1"/>
  <c r="R10" i="1"/>
  <c r="P11" i="1"/>
  <c r="Q11" i="1"/>
  <c r="R16" i="1"/>
  <c r="R17" i="1"/>
  <c r="R18" i="1"/>
  <c r="Q19" i="1"/>
  <c r="R23" i="1"/>
  <c r="R25" i="1"/>
  <c r="R26" i="1"/>
  <c r="R27" i="1"/>
  <c r="R30" i="1"/>
  <c r="R31" i="1"/>
  <c r="R39" i="1"/>
  <c r="R42" i="1"/>
  <c r="P43" i="1"/>
  <c r="Q43" i="1"/>
  <c r="R47" i="1"/>
  <c r="R48" i="1"/>
  <c r="R49" i="1"/>
  <c r="K50" i="1"/>
  <c r="O50" i="1"/>
  <c r="P50" i="1"/>
  <c r="P53" i="1" s="1"/>
  <c r="Q50" i="1"/>
  <c r="F51" i="1"/>
  <c r="F52" i="1" s="1"/>
  <c r="F49" i="1"/>
  <c r="F48" i="1"/>
  <c r="F47" i="1"/>
  <c r="F46" i="1"/>
  <c r="F45" i="1"/>
  <c r="F41" i="1"/>
  <c r="F39" i="1"/>
  <c r="F38" i="1"/>
  <c r="F37" i="1"/>
  <c r="F36" i="1" s="1"/>
  <c r="F35" i="1"/>
  <c r="F33" i="1"/>
  <c r="F29" i="1"/>
  <c r="F21" i="1"/>
  <c r="F22" i="1" s="1"/>
  <c r="F16" i="1"/>
  <c r="F12" i="1"/>
  <c r="F11" i="1"/>
  <c r="B5" i="10"/>
  <c r="B4" i="10"/>
  <c r="R53" i="1" l="1"/>
  <c r="R19" i="1"/>
  <c r="R11" i="1"/>
  <c r="N43" i="1"/>
  <c r="H50" i="1"/>
  <c r="R33" i="1"/>
  <c r="F19" i="1"/>
  <c r="F50" i="1"/>
  <c r="F43" i="1"/>
  <c r="B11" i="4"/>
  <c r="B10" i="4"/>
  <c r="B9" i="4"/>
  <c r="B8" i="4"/>
  <c r="B7" i="4"/>
  <c r="B6" i="4"/>
  <c r="B5" i="4"/>
  <c r="B4" i="4"/>
  <c r="B3" i="4"/>
  <c r="B2" i="4"/>
  <c r="D15" i="3"/>
  <c r="D14" i="3"/>
  <c r="B15" i="3"/>
  <c r="B14" i="3"/>
  <c r="H23" i="2" l="1"/>
  <c r="G23" i="2"/>
  <c r="F23" i="2"/>
  <c r="J23" i="2" s="1"/>
  <c r="E23" i="2"/>
  <c r="D23" i="2"/>
  <c r="C23" i="2"/>
  <c r="B23" i="2"/>
  <c r="J22" i="2"/>
  <c r="I22" i="2"/>
  <c r="K22" i="2" s="1"/>
  <c r="J21" i="2"/>
  <c r="I21" i="2"/>
  <c r="K21" i="2" s="1"/>
  <c r="J20" i="2"/>
  <c r="I20" i="2"/>
  <c r="J19" i="2"/>
  <c r="I19" i="2"/>
  <c r="K20" i="2" l="1"/>
  <c r="I23" i="2"/>
  <c r="K19" i="2"/>
  <c r="K23" i="2" s="1"/>
  <c r="C31" i="2"/>
  <c r="D31" i="2"/>
  <c r="E31" i="2"/>
  <c r="B31" i="2"/>
  <c r="C13" i="3"/>
  <c r="J12" i="2" l="1"/>
  <c r="J13" i="2"/>
  <c r="J14" i="2"/>
  <c r="J11" i="2"/>
  <c r="J4" i="2"/>
  <c r="J5" i="2"/>
  <c r="J6" i="2"/>
  <c r="AE35" i="10" l="1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18" i="10"/>
  <c r="AF17" i="10"/>
  <c r="AF16" i="10"/>
  <c r="AF15" i="10"/>
  <c r="AF14" i="10"/>
  <c r="AF13" i="10"/>
  <c r="AF12" i="10"/>
  <c r="AF11" i="10"/>
  <c r="AF10" i="10"/>
  <c r="AF9" i="10"/>
  <c r="AF35" i="10" l="1"/>
  <c r="H15" i="2"/>
  <c r="G15" i="2"/>
  <c r="F15" i="2"/>
  <c r="J15" i="2" s="1"/>
  <c r="E15" i="2"/>
  <c r="D15" i="2"/>
  <c r="C15" i="2"/>
  <c r="B15" i="2"/>
  <c r="I14" i="2"/>
  <c r="I13" i="2"/>
  <c r="I12" i="2"/>
  <c r="I11" i="2"/>
  <c r="K13" i="2" l="1"/>
  <c r="K11" i="2"/>
  <c r="K12" i="2"/>
  <c r="I15" i="2"/>
  <c r="K14" i="2"/>
  <c r="K15" i="2" l="1"/>
  <c r="I4" i="2"/>
  <c r="I5" i="2"/>
  <c r="I6" i="2"/>
  <c r="G7" i="2"/>
  <c r="H7" i="2"/>
  <c r="E7" i="2"/>
  <c r="C7" i="2"/>
  <c r="D7" i="2"/>
  <c r="F7" i="2"/>
  <c r="J7" i="2" s="1"/>
  <c r="B7" i="2"/>
  <c r="K4" i="2" l="1"/>
  <c r="K6" i="2"/>
  <c r="K5" i="2"/>
  <c r="I7" i="2"/>
  <c r="K7" i="2" l="1"/>
  <c r="D34" i="1"/>
  <c r="R28" i="1" l="1"/>
  <c r="R24" i="1"/>
  <c r="R44" i="1"/>
  <c r="D12" i="1" l="1"/>
  <c r="D51" i="1"/>
  <c r="D46" i="1"/>
  <c r="R45" i="1"/>
  <c r="D44" i="1"/>
  <c r="D36" i="1"/>
  <c r="D30" i="1"/>
  <c r="R29" i="1"/>
  <c r="D23" i="1"/>
  <c r="D20" i="1"/>
  <c r="G51" i="1"/>
  <c r="G52" i="1" l="1"/>
  <c r="R52" i="1" s="1"/>
  <c r="R51" i="1"/>
  <c r="D6" i="1"/>
  <c r="E6" i="1"/>
  <c r="F53" i="1"/>
  <c r="B23" i="1"/>
  <c r="C6" i="1" s="1"/>
  <c r="H53" i="1"/>
  <c r="B46" i="1"/>
  <c r="G6" i="1" s="1"/>
  <c r="B30" i="1"/>
  <c r="I6" i="1" l="1"/>
  <c r="F6" i="1"/>
  <c r="R21" i="1"/>
  <c r="R20" i="1"/>
  <c r="R35" i="1" l="1"/>
  <c r="R34" i="1"/>
  <c r="R22" i="1"/>
  <c r="G53" i="1" l="1"/>
  <c r="R43" i="1"/>
  <c r="D10" i="1" l="1"/>
  <c r="B10" i="1" l="1"/>
  <c r="B6" i="1" s="1"/>
  <c r="H6" i="1" s="1"/>
  <c r="J6" i="1" s="1"/>
  <c r="B12" i="4"/>
  <c r="D13" i="3" l="1"/>
  <c r="B13" i="3"/>
</calcChain>
</file>

<file path=xl/sharedStrings.xml><?xml version="1.0" encoding="utf-8"?>
<sst xmlns="http://schemas.openxmlformats.org/spreadsheetml/2006/main" count="1215" uniqueCount="504">
  <si>
    <t>Prioritás</t>
  </si>
  <si>
    <t>1.2 Településfejlesztés, települési szolgáltatások</t>
  </si>
  <si>
    <t>1.2.1 Élhető települések</t>
  </si>
  <si>
    <t>3.1 Megyei és térségi fejlesztések (ESZA+ elemei)</t>
  </si>
  <si>
    <t>3. 2 Fenntartható városfejlesztés (ESZA+ elemei)</t>
  </si>
  <si>
    <t>Csapadékvíz</t>
  </si>
  <si>
    <t>Kerékpárút</t>
  </si>
  <si>
    <t>Egészégügyi alap-és szakrendelés</t>
  </si>
  <si>
    <t>Szociális alapszolgáltatás</t>
  </si>
  <si>
    <t>Óvodai fejlesztés</t>
  </si>
  <si>
    <t>Felhívás</t>
  </si>
  <si>
    <t>Tervezési tábla</t>
  </si>
  <si>
    <t>Ebből: Zöld infrastruktúra fejlesztése</t>
  </si>
  <si>
    <t>1.2.3 Belterületi utak fejlesztése</t>
  </si>
  <si>
    <t>3.3.1 Gyermeknevelést támogató humán infrastruktúra fejlesztése</t>
  </si>
  <si>
    <t>3.3.2 Helyi egészségügyi és szociális infrastruktúra fejlesztése</t>
  </si>
  <si>
    <t>3.3 Helyi és térségi közszolgáltatások (ERFA)</t>
  </si>
  <si>
    <t>1.3 Fenntartható városfejlesztés</t>
  </si>
  <si>
    <t>1.3.1 Fenntartható városfejlesztési stratégiák támogatása</t>
  </si>
  <si>
    <t>2.1.1 Önkormányzati épületek energetikai korszerűsítése</t>
  </si>
  <si>
    <t>2.1.2 Fenntartható energiahatékonyság</t>
  </si>
  <si>
    <t>3.1.1 Megyei foglalkoztatási-gazdaságfejlesztési együttműködések</t>
  </si>
  <si>
    <t>3.1.3 Helyi humán fejlesztések</t>
  </si>
  <si>
    <t>3.2.1 Fenntartható humán fejlesztések</t>
  </si>
  <si>
    <t xml:space="preserve">Intézkedés </t>
  </si>
  <si>
    <t>1.1 összesen</t>
  </si>
  <si>
    <t>1.2 összesen:</t>
  </si>
  <si>
    <t>1.3 összesen</t>
  </si>
  <si>
    <t>2.1 összesen</t>
  </si>
  <si>
    <t>3.1 összesen</t>
  </si>
  <si>
    <t>3.2 összesen</t>
  </si>
  <si>
    <t>3.3 összesen:</t>
  </si>
  <si>
    <t>Alapadattábla (Nem módosítható)</t>
  </si>
  <si>
    <t>1. prioritás keretösszege 
(Ft)</t>
  </si>
  <si>
    <t>2. prioritás keretösszege (Ft)</t>
  </si>
  <si>
    <t>Intézkedés forráskerete (Ft)</t>
  </si>
  <si>
    <t>Felhívás/Tématerület forráskerete (Ft)</t>
  </si>
  <si>
    <t xml:space="preserve"> Fenntartható városfejlesztés forrásfelhasználási mód keretösszege (Ft)</t>
  </si>
  <si>
    <t>Forrásfelhasználási módok  keretösszege összesen  (Ft) 
(Meg kell egyeznie az "F" oszlop adataival)</t>
  </si>
  <si>
    <t>Bölcsődei fejlesztés</t>
  </si>
  <si>
    <t>1.1 Klímatudatosság, éghajlatváltozáshoz való alkalmazkodás</t>
  </si>
  <si>
    <t>1.1.1 Klímatudatosság, éghajlatváltozáshoz való alkalmazkodás</t>
  </si>
  <si>
    <t>1.2.2 Szociális célú városrehabilitáció (ERFA)</t>
  </si>
  <si>
    <t xml:space="preserve">1.3.2 Fenntartható városfejlesztés </t>
  </si>
  <si>
    <t>3.1.2 Szociális célú várorehabilitáció (ESZA+)</t>
  </si>
  <si>
    <t>3.4 Fenntartható humán infrastruktúra (ERFA)</t>
  </si>
  <si>
    <t>Prioritás keretösszege (Ft)</t>
  </si>
  <si>
    <t>3.3.3 Köznevelési infrastruktúra fejlesztése</t>
  </si>
  <si>
    <t>3.4.1 Fenntartható humán infrastruktúra</t>
  </si>
  <si>
    <t>3.4 összesen</t>
  </si>
  <si>
    <t>6.1 Helyi gazdaságfejlesztés</t>
  </si>
  <si>
    <t>6.1.1 Helyi gazdaságfejelsztés</t>
  </si>
  <si>
    <t>6.1.2 4 és 5 számjegyű utak fejlesztése</t>
  </si>
  <si>
    <t>6.1.3 Helyi és térségi turizmusfejlesztés</t>
  </si>
  <si>
    <t>6.1.4 Aktív turizmus fejlesztése</t>
  </si>
  <si>
    <t>6.1 összesen</t>
  </si>
  <si>
    <t>6.2 Fenntartható versenyképes városfejlesztés</t>
  </si>
  <si>
    <t>6.2.1 Fenntartható versenyképes városfejlesztés</t>
  </si>
  <si>
    <t>6.2 összesen</t>
  </si>
  <si>
    <t>1.2.4 Szegregált városi területekről integrált területekre költözés támogatása (PILOT)</t>
  </si>
  <si>
    <t>Fejlesztési cél - aktív turizmus fejlesztése forrásfelhasználási mód keretösszege (Ft)</t>
  </si>
  <si>
    <t>Összesen</t>
  </si>
  <si>
    <t>TOP Plusz intézkedések</t>
  </si>
  <si>
    <t>Fenntartható város</t>
  </si>
  <si>
    <t>2.1.2 Fenntartható energiahatékonyság (Ft)</t>
  </si>
  <si>
    <t>3.2.1 Fenntartható humán fejlesztések (Ft)</t>
  </si>
  <si>
    <t>Fenntartható ERFA összesen (Ft)</t>
  </si>
  <si>
    <t>Fenntartható ESZA összesen (Ft)</t>
  </si>
  <si>
    <t>Fenntartható összesen (Ft)</t>
  </si>
  <si>
    <t>1.3.2 Fenntartható városfejlesztés (Ft)</t>
  </si>
  <si>
    <t>1.3.1 Fenntartható városfejlesztési stratégiák támogatása (Ft)</t>
  </si>
  <si>
    <t xml:space="preserve"> 3.4.1 Fenntartható humán infrastruktúra  (Ft)</t>
  </si>
  <si>
    <t>6.2.1 Fenntartható versenyképes városfejlesztés (Ft)</t>
  </si>
  <si>
    <t>BIZTONSÁGI HÁLÓ</t>
  </si>
  <si>
    <t>7 éves keret (350Ft/EUR árfolyamon)</t>
  </si>
  <si>
    <t>3. prioritás keretösszege (ESZA+) (Ft)</t>
  </si>
  <si>
    <t>3. prioritás keretösszege (ERFA) (Ft)</t>
  </si>
  <si>
    <t>3. prioritás keretösszege (összesen) (Ft)</t>
  </si>
  <si>
    <t>6. prioritás (Ft)</t>
  </si>
  <si>
    <t>LHH térség megnevezése</t>
  </si>
  <si>
    <t>1. prioritásra tervezett keretösszeg
(Ft)</t>
  </si>
  <si>
    <t>3.  prioritásra tervezett keretösszeg (összesen) (Ft)</t>
  </si>
  <si>
    <t>6.  prioritásra tervezett keretösszeg (Ft)</t>
  </si>
  <si>
    <t>LHH-ra tervezett ERFA keretösszeg összesen (Ft)</t>
  </si>
  <si>
    <t>LHH-ra tervezett ESZA+ keretösszeg összesen (Ft)</t>
  </si>
  <si>
    <t>LHH-ra tervezett  keretösszeg összesen (Ft)</t>
  </si>
  <si>
    <t>2.  prioritásra tervezett keretösszeg (Ft)</t>
  </si>
  <si>
    <t>3.  prioritásra tervezett keretösszeg (ESZA+) (Ft)</t>
  </si>
  <si>
    <t>3.  prioritásra tervezett keretösszeg (ERFA) (Ft)</t>
  </si>
  <si>
    <t>Korlátozó feltétel OP alapján:</t>
  </si>
  <si>
    <t xml:space="preserve">Vármegye: </t>
  </si>
  <si>
    <t>vármegye</t>
  </si>
  <si>
    <t xml:space="preserve">1. PRIORITÁS: ÉLHETŐ VÁRMEGYE </t>
  </si>
  <si>
    <t>2. PRIORITÁS: KLÍMABARÁT VÁRMEGYE</t>
  </si>
  <si>
    <t>3. PRIORITÁS: GONDOSKODÓ VÁRMEGYE</t>
  </si>
  <si>
    <t>6. PRIORITÁS: VERSENYKÉPES VÁRMEGYE</t>
  </si>
  <si>
    <t>2.1 Klímabarát vármegye</t>
  </si>
  <si>
    <t>3.1 Vármegyei és térségi fejlesztések (ESZA+ elemei)</t>
  </si>
  <si>
    <t>Kiemelt kedvezményezett (Magyar Közút, Vármegyei Önkormányzat, Tankerületi Központok) forrásfelhasználási mód
keretösszege (Ft)</t>
  </si>
  <si>
    <t>Vármegyei ERFA összesen (Ft)</t>
  </si>
  <si>
    <t>Vármegyei ESZA összesen (Ft)</t>
  </si>
  <si>
    <t>Vármegyei keretösszeg összesen (Ft)</t>
  </si>
  <si>
    <t>Vármegye által tervezett (Ft)</t>
  </si>
  <si>
    <t>Vármegye által tervezett (%)</t>
  </si>
  <si>
    <t>A vármegyékre jutó indikatív forráskeretének legalább 10%-át a komplex programmal fejlesztendő járásokra (36 LHH járás) szükséges irányítani.</t>
  </si>
  <si>
    <t xml:space="preserve">ÜTEMEZÉS  </t>
  </si>
  <si>
    <t xml:space="preserve">Vármegye neve: </t>
  </si>
  <si>
    <t xml:space="preserve">Prioritás </t>
  </si>
  <si>
    <t>Felhívások</t>
  </si>
  <si>
    <t>1né</t>
  </si>
  <si>
    <t>2.né</t>
  </si>
  <si>
    <t>3.né</t>
  </si>
  <si>
    <t>4.né</t>
  </si>
  <si>
    <t>1.2.2 Szociális  célú városrehabilitáció (ERFA)</t>
  </si>
  <si>
    <t xml:space="preserve">2. PRIORITÁS: KLÍMABARÁT VÁRMEGYE </t>
  </si>
  <si>
    <t>3.1.2 Szociális  célú várorehabilitáció (ESZA+)</t>
  </si>
  <si>
    <t>Vármegyétől javasolt OP alapján (Ft)</t>
  </si>
  <si>
    <t>Forrásfelhasználási mód kódszáma</t>
  </si>
  <si>
    <t>Ssz.</t>
  </si>
  <si>
    <t>Település megnevezése</t>
  </si>
  <si>
    <t>Település jogállása</t>
  </si>
  <si>
    <t>Járás megnevezése</t>
  </si>
  <si>
    <t xml:space="preserve">Település mérete 5000 fő alatti (0), 5000 fő feletti (1) </t>
  </si>
  <si>
    <t>Forrásfelhasználási mód megnevezése</t>
  </si>
  <si>
    <t>290/2014.(XI.26.) Korm.rendelet szerint</t>
  </si>
  <si>
    <t>Komplex programmal fejlesztendő járás (3),
Fejlesztendő járás (2),
Kedvezményezett járás (1),
Nem sorolt (0)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</si>
  <si>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</si>
  <si>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</si>
  <si>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</si>
  <si>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</si>
  <si>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</si>
  <si>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</si>
  <si>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</si>
  <si>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</si>
  <si>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</si>
  <si>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</si>
  <si>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</si>
  <si>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</si>
  <si>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</si>
  <si>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</si>
  <si>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</si>
  <si>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</si>
  <si>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</si>
  <si>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</si>
  <si>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</si>
  <si>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</si>
  <si>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</si>
  <si>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</si>
  <si>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</si>
  <si>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</si>
  <si>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</si>
  <si>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</si>
  <si>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</si>
  <si>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stb.</t>
  </si>
  <si>
    <t>Ismérv 1</t>
  </si>
  <si>
    <t>Ismérv 2</t>
  </si>
  <si>
    <t>Ismérv 3</t>
  </si>
  <si>
    <t>A cellákba (Ismérv) kizárólag azok az egyedi szempontok kerülhetnek, amelyeket a vármegy korábban már az ITP-ben rögzített.  Új településdiffrenciálási szempont meghatározására nincs lehetőség.</t>
  </si>
  <si>
    <t>Prioritási tengely</t>
  </si>
  <si>
    <t>Indikátor</t>
  </si>
  <si>
    <t>Mértékegység</t>
  </si>
  <si>
    <t>Mérföldkő 2024</t>
  </si>
  <si>
    <t>Forrásarányos célérték (2024)</t>
  </si>
  <si>
    <t>Célérték 2029</t>
  </si>
  <si>
    <t>Forrásarányos célérték (2029)</t>
  </si>
  <si>
    <t>Megye által vállalt célérték (2029)</t>
  </si>
  <si>
    <t>Azonosító</t>
  </si>
  <si>
    <t>Megnevezés</t>
  </si>
  <si>
    <t>TOP_Plusz-1</t>
  </si>
  <si>
    <t>RCO26</t>
  </si>
  <si>
    <t>Az éghajlatváltozáshoz való alkalmazkodás céljából épített vagy felújított zöld infrastruktúra</t>
  </si>
  <si>
    <t>ha</t>
  </si>
  <si>
    <t>RCR35</t>
  </si>
  <si>
    <t>Árvízvédelmi intézkedésekkel érintett lakosság</t>
  </si>
  <si>
    <t>fő</t>
  </si>
  <si>
    <t>RCO58</t>
  </si>
  <si>
    <t>Támogatott célzott kerékpáros infrastruktúra</t>
  </si>
  <si>
    <t>km</t>
  </si>
  <si>
    <t>RCR64</t>
  </si>
  <si>
    <t>A célzott kerékpáros infrastruktúra éves felhasználói</t>
  </si>
  <si>
    <t>fő/év</t>
  </si>
  <si>
    <t>TPO10</t>
  </si>
  <si>
    <t>Kialakított új, forgalomcsillapított övezetek száma</t>
  </si>
  <si>
    <t>db</t>
  </si>
  <si>
    <t>TPO11</t>
  </si>
  <si>
    <t>Fejlesztéssel érintett közösségi területek nagysága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</si>
  <si>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</si>
  <si>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TPO12</t>
  </si>
  <si>
    <t>Megvalósított megyei szemléletformáló és tudatosságnövelő programok száma</t>
  </si>
  <si>
    <t>RCO65</t>
  </si>
  <si>
    <t>Az új vagy korszerűsített szociális lakások kapacitása</t>
  </si>
  <si>
    <t>TPR09</t>
  </si>
  <si>
    <t>A projekt keretében integrált területre költözők száma</t>
  </si>
  <si>
    <t>RCO46</t>
  </si>
  <si>
    <t>Átépített vagy korszerszerűsített közutak hossza – nem TEN-T</t>
  </si>
  <si>
    <t>TOP_Plusz-2</t>
  </si>
  <si>
    <t>RCO19</t>
  </si>
  <si>
    <t>Jobb energiahatékonyságú középületek</t>
  </si>
  <si>
    <t>RCR26</t>
  </si>
  <si>
    <t>Éves primerenergia-fogyasztás</t>
  </si>
  <si>
    <t>MWh/év</t>
  </si>
  <si>
    <t>RCR29</t>
  </si>
  <si>
    <t>Becsült üvegházhatásúgáz-kibocsátások</t>
  </si>
  <si>
    <r>
      <t>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t/év</t>
    </r>
  </si>
  <si>
    <t>RCO22</t>
  </si>
  <si>
    <t>Megújuló energiát előállító addicionális termelőkapacitás (ebből: villamos energia, hőenergia)</t>
  </si>
  <si>
    <t>MW</t>
  </si>
  <si>
    <t>RCR31</t>
  </si>
  <si>
    <t>Összes előállított megújuló energia (ebből: villamos energia, hőenergia)</t>
  </si>
  <si>
    <t>TPO09</t>
  </si>
  <si>
    <t>Fejlesztéssel érintett fürdők száma</t>
  </si>
  <si>
    <t>TOP_Plusz-3</t>
  </si>
  <si>
    <t>TPO05</t>
  </si>
  <si>
    <t>Programban résztvevő munkanélküliek száma</t>
  </si>
  <si>
    <t>TPO06</t>
  </si>
  <si>
    <t>Programban résztvevő inaktív személyek száma</t>
  </si>
  <si>
    <t>TPO23</t>
  </si>
  <si>
    <t>Munkaerőpiaci alkalmazkodást segítő támogatásban részesülők száma</t>
  </si>
  <si>
    <t>TPO24</t>
  </si>
  <si>
    <t>Foglalkoztatást elősegítő szolgáltatásokban és tevékenységekben résztvevők száma</t>
  </si>
  <si>
    <t>TPR02</t>
  </si>
  <si>
    <t>Program elhagyásának időpontjában foglalkoztatásban – beleértve az önfoglalkoztatást – álló résztvevők száma</t>
  </si>
  <si>
    <t>nem releváns</t>
  </si>
  <si>
    <t>TPO13</t>
  </si>
  <si>
    <t>Hátrányos helyzetűeket célzó programok száma</t>
  </si>
  <si>
    <t>TPO25</t>
  </si>
  <si>
    <t>Fejlesztéssel érintett akcióterület száma</t>
  </si>
  <si>
    <t>TPR05</t>
  </si>
  <si>
    <t>A programokkal elért hátrányos helyzetű személyek száma</t>
  </si>
  <si>
    <t>TPR15</t>
  </si>
  <si>
    <t>Program eredményként integrált területre költözők száma</t>
  </si>
  <si>
    <t>TPO14</t>
  </si>
  <si>
    <t>Egyéb, nem közösségi célú programok száma</t>
  </si>
  <si>
    <t>TPR10</t>
  </si>
  <si>
    <t>Azon települések száma, ahol javult a foglalkoztatáshoz, oktatáshoz, egészségügyhöz, szociális és/vagy lakhatási szolgáltatásokhoz való hozzáférés</t>
  </si>
  <si>
    <t>TPO26</t>
  </si>
  <si>
    <t>Fejlesztett, 0-3 éves gyermekek elhelyezését biztosító férőhelyek száma</t>
  </si>
  <si>
    <t>TPO27</t>
  </si>
  <si>
    <t>Újonnan létrehozott, 0-3 éves gyermekek elhelyezését biztosító férőhelyek száma</t>
  </si>
  <si>
    <t>TPO28</t>
  </si>
  <si>
    <t>Fejlesztett, 3-6 éves gyermekek elhelyezését biztosító férőhelyek száma</t>
  </si>
  <si>
    <t>TPO29</t>
  </si>
  <si>
    <t>Újonnan létrehozott, 3-6 éves gyermekek elhelyezését biztosító férőhelyek száma</t>
  </si>
  <si>
    <t>RCR70</t>
  </si>
  <si>
    <t>Az új vagy korszerűsített gyermekgondozási létesítmények éves felhasználói</t>
  </si>
  <si>
    <t>TPR11</t>
  </si>
  <si>
    <t>Újonnan létrehozott bölcsődei ellátással rendelkező települések száma (ahol 2020.12.31-én nem működött bölcsődei szolgáltatás)</t>
  </si>
  <si>
    <t>TPR12</t>
  </si>
  <si>
    <t>Fejlesztett óvodai ellátással rendelkező települések száma</t>
  </si>
  <si>
    <t>TPO01</t>
  </si>
  <si>
    <t>Fejlesztéssel érintett egészségügyi alapellátást nyújtó szolgálatok (benne: háziorvos, házi gyermekorvos, fogorvosi, védőnői szolgálat és kapcsolódó ügyeleti ellátás, iskola-egészségügyi ellátás) száma</t>
  </si>
  <si>
    <t>RCR73</t>
  </si>
  <si>
    <t>Az új vagy korszerűsített egészségügyi ellátó létesítmények éves felhasználói</t>
  </si>
  <si>
    <t>TPO02</t>
  </si>
  <si>
    <t>A fejlesztés révén létrejövő, megújuló szociális alapszolgáltatások és gyermekjóléti alapellátások száma</t>
  </si>
  <si>
    <t>TPR13</t>
  </si>
  <si>
    <t>Fejlesztett egészségügyi szolgáltatásokkal rendelkező települések száma</t>
  </si>
  <si>
    <t>TPR14</t>
  </si>
  <si>
    <t>Újonnan létrehozott vagy férőhelybővítéssel érintett szociális alapszolgáltatásokkal és gyermekjóléti alapellátásokkal rendelkező települések száma</t>
  </si>
  <si>
    <t>RCO67</t>
  </si>
  <si>
    <t>Az új vagy korszerűsített oktatási létesítmények osztálytermi kapacitása</t>
  </si>
  <si>
    <t>TPO30</t>
  </si>
  <si>
    <t>Korszerűsített köznevelési intézmények száma</t>
  </si>
  <si>
    <t>TPO31</t>
  </si>
  <si>
    <t>Korszerűsített kollégiumok száma</t>
  </si>
  <si>
    <t>RCR71</t>
  </si>
  <si>
    <t>Az új vagy korszerűsített oktatási létesítmények éves felhasználói</t>
  </si>
  <si>
    <t>TOP_Plusz-6</t>
  </si>
  <si>
    <t>RCO04</t>
  </si>
  <si>
    <t>Nem pénzügyi támogatásban részesített vállalkozások</t>
  </si>
  <si>
    <t>TPO07</t>
  </si>
  <si>
    <t>Támogatásban részesülő önkormányzati tulajdonú vállalkozások száma</t>
  </si>
  <si>
    <t>TPO32</t>
  </si>
  <si>
    <t>Közétkeztetési fejlesztések száma</t>
  </si>
  <si>
    <t>Átépített vagy korszerűsített közutak hossza – nem TEN-T</t>
  </si>
  <si>
    <t>RCO77</t>
  </si>
  <si>
    <t>Támogatott kulturális és turisztikai helyszínek száma</t>
  </si>
  <si>
    <t>TPO34</t>
  </si>
  <si>
    <t>Turisztikai fejlesztéssel érintett nemzeti parkok, geoparkok, natúrparkok száma</t>
  </si>
  <si>
    <t>RCO74</t>
  </si>
  <si>
    <t>Az integrált területfejlesztési stratégiák keretébe tartozó projektek által érintett lakosság</t>
  </si>
  <si>
    <t>RCO75</t>
  </si>
  <si>
    <t>Támogatott integrált területfejlesztési stratégiák</t>
  </si>
  <si>
    <t>Fejlesztési cél - Vármegye által kijelölt (nem FVS) városok fejlesztése forrásfelhasználási mód*</t>
  </si>
  <si>
    <t>*Kizárólag Csongrád-Csanád, Fejér, Pest és Tolna vármegye esetén szükséges kitölteni.</t>
  </si>
  <si>
    <t>Vármegyei keretösszeg összesen (1086/2022. (II. 23.) Korm. határozat alapján) (Ft) (B2=J6):</t>
  </si>
  <si>
    <t>2.1.3 Önkormányzati épületek energetikai korszerűsítése (kombinált- projektelőkészítés)</t>
  </si>
  <si>
    <t>2.1.4 Önkormányzati épületek energetikai korszerűsítése (kombinált)</t>
  </si>
  <si>
    <t>2.1.5 Fenntartható energiahatékonyság (kombinált- projektelőkészítés)</t>
  </si>
  <si>
    <t>2.1.6 Fenntartható energiahatékonyság (kombinált)</t>
  </si>
  <si>
    <t>Témerületre allokált forrás bemutatása:</t>
  </si>
  <si>
    <t>Becsült üvegházhatásúgáz-kibocsátás</t>
  </si>
  <si>
    <t>Város által a TVP-ben vállalt célérték (2029)</t>
  </si>
  <si>
    <t>Ebből: Fürdő/gyógyfürdő energetikai fejlesztésére tervezett forrás (Ft)</t>
  </si>
  <si>
    <t>2.1.6 Fenntartható energiahatékony-ság (kombinált)</t>
  </si>
  <si>
    <t>Minden városra külön munkalapot szükséges kitölteni!</t>
  </si>
  <si>
    <t xml:space="preserve">Vármegye forráskerete (forint) </t>
  </si>
  <si>
    <t>* Bővíthető a táblázat, amennyiben további tématerületi allokáció rögzítésére van szükség.</t>
  </si>
  <si>
    <t xml:space="preserve"> 4-5 számjegyű utak fejlesztésére tervezett forrás (Ft)</t>
  </si>
  <si>
    <t>Pedagógiai Szakszolgálat fejlesztésére tervezett forrás (Ft)</t>
  </si>
  <si>
    <t xml:space="preserve"> Állami alap- és középfokú köznevelési intézmények, illetve kollégiumok fejlesztésére tervezett forrás (Ft)
 (Pedagógiai szakszolgálat nélkül)</t>
  </si>
  <si>
    <t xml:space="preserve"> Fürdő/gyógyfürdő energetikai fejlesztésére tervezett forrás (Ft)</t>
  </si>
  <si>
    <t>Fürdő/gyógyfürdő energetikai fejlesztésére tervezett forrás (Ft)</t>
  </si>
  <si>
    <t>7 éves keret+BIZTONSÁGI HÁLÓ</t>
  </si>
  <si>
    <t>A táblázatban a vármegye területén minden LHH térségben tervezett forrásallokáció feltüntetése szükséges.</t>
  </si>
  <si>
    <t>A program a 36 komplex programmal fejlesztendő járás területén megvalósuló beruházások támogatására fordítja az alap- és középfokú köznevelési intézmények fejlesztésére tervezett, TOP Plusz keretösszeg legalább 15%-át.</t>
  </si>
  <si>
    <t>A program a 36 komplex programmal fejlesztendő járás területén megvalósuló beruházások támogatására fordítja a helyi egészségügyi és szociális infrastruktúra fejlesztésére tervezett, TOP Plusz keretösszeg legalább 15%-át.</t>
  </si>
  <si>
    <t>TPO18</t>
  </si>
  <si>
    <t>Szolgáltatásban vagy támogatásban részesülő személyek</t>
  </si>
  <si>
    <t>Az új felhívások meghirdetésének ütemezése, nem tartozik ide az újranyitás.</t>
  </si>
  <si>
    <t>**szükség szerint bővíthető az ffm-ek száma</t>
  </si>
  <si>
    <t>Hajdú-Bihar</t>
  </si>
  <si>
    <t>Földrajzi célterület forrásfelhasználási mód (I).
keretösszege (Ft) 
(Északi agglomerációs térség)</t>
  </si>
  <si>
    <t>Földrajzi célterület forrásfelhasználási mód (II.)
keretösszege (Ft)
(Déli agglomerációs térség)</t>
  </si>
  <si>
    <t>Földrajzi célterület forrásfelhasználási mód (III.)
keretösszege (Ft)
(Erősödő északnyugati kapu térsége)</t>
  </si>
  <si>
    <t>Földrjazi célterület forrásfelhasználási mód (IV.)
keretösszege (Ft)
(Helyi természeti és kulturális potenciálra, valamint agrárinnovációra alapozott fejlesztések térsége)</t>
  </si>
  <si>
    <t>Földrjazi célterület forrásfelhasználási mód (V.)
keretösszege (Ft)
(Keleti agglomerációs térség)</t>
  </si>
  <si>
    <t>Földrjazi célterület forrásfelhasználási mód (VI.)
keretösszege (Ft)
(Bihari térség)</t>
  </si>
  <si>
    <t>Földrjazi célterület forrásfelhasználási mód (VII.)
keretösszege (Ft)
(Sárréti térség)</t>
  </si>
  <si>
    <t>-</t>
  </si>
  <si>
    <t>Forrásfelhasználáis módok szerinti megbontás*</t>
  </si>
  <si>
    <t>Debrecen MJV</t>
  </si>
  <si>
    <t>Berettyóújfalui járás</t>
  </si>
  <si>
    <t>Derecskei járás</t>
  </si>
  <si>
    <t>Nyíradonyi járás</t>
  </si>
  <si>
    <t>Püspökladányi járás</t>
  </si>
  <si>
    <t>Település lakosságszáma (fő) (2021)</t>
  </si>
  <si>
    <t>Ismérv 4</t>
  </si>
  <si>
    <t>Ismérv 5</t>
  </si>
  <si>
    <t>Ismérv 6</t>
  </si>
  <si>
    <t>290/2014 Korm. rendelet szerinti besorolás 
(3 pont: komplex programmal fejlesztendő járás, 
0 pont: fejlesztendő, kedvezményezett és nem besorolható járás):</t>
  </si>
  <si>
    <t>Szabad vállalkozási zóna települései:</t>
  </si>
  <si>
    <t>Lakónépesség (2021 január) 
(3 pont: 10 000 fő feletti, 
2 pont: 5 000 és 10 000 fő között, 
1 pont: 5 000 és 2 000 fő között, 
0 pont: 2 000 fő alatt):</t>
  </si>
  <si>
    <t>Népesség változás 2017-2020 között 
(0 pont: csökkenő és változatlan, 
1 pont: növekvő):</t>
  </si>
  <si>
    <t>Munkanélküliségi ráta megyei átlaghoz viszonyítva (6,78%) (1 pont: átlag alatti, 
0 pont: átlag feletti):</t>
  </si>
  <si>
    <t>Középfokú, főiskolai, egyetemi végzettségűek aránya megyei átlaghoz (48,18%) viszonyítva 
(1 pont: átlag feletti, 
0 pont: átlag alatti):</t>
  </si>
  <si>
    <t>Álmosd</t>
  </si>
  <si>
    <t>község</t>
  </si>
  <si>
    <t>Keleti agglomerációs térség</t>
  </si>
  <si>
    <t>VI.</t>
  </si>
  <si>
    <t>Ártánd</t>
  </si>
  <si>
    <t>Bihari térség</t>
  </si>
  <si>
    <t>VII.</t>
  </si>
  <si>
    <t>Bagamér</t>
  </si>
  <si>
    <t>nagyközség</t>
  </si>
  <si>
    <t>Bakonszeg</t>
  </si>
  <si>
    <t>Balmazújváros</t>
  </si>
  <si>
    <t>város</t>
  </si>
  <si>
    <t>Balmazújvárosi járás</t>
  </si>
  <si>
    <t>Helyi természeti és kulturális potenciálra, valamint agrárinnovációra alapozott fejlesztések térsége</t>
  </si>
  <si>
    <t>V.</t>
  </si>
  <si>
    <t>Báránd</t>
  </si>
  <si>
    <t>Sárréti térség</t>
  </si>
  <si>
    <t>VIII.</t>
  </si>
  <si>
    <t>Bedő</t>
  </si>
  <si>
    <t>Berekböszörmény</t>
  </si>
  <si>
    <t>Berettyóújfalu</t>
  </si>
  <si>
    <t>Bihardancsháza</t>
  </si>
  <si>
    <t>Biharkeresztes</t>
  </si>
  <si>
    <t>Biharnagybajom</t>
  </si>
  <si>
    <t>Bihartorda</t>
  </si>
  <si>
    <t>Bocskaikert</t>
  </si>
  <si>
    <t>Hajdúhadházi járás</t>
  </si>
  <si>
    <t>Északi agglomerációs térség</t>
  </si>
  <si>
    <t xml:space="preserve">II. </t>
  </si>
  <si>
    <t>Bojt</t>
  </si>
  <si>
    <t>Csökmő</t>
  </si>
  <si>
    <t>Darvas</t>
  </si>
  <si>
    <t>Debrecen</t>
  </si>
  <si>
    <t>megyei jogú város</t>
  </si>
  <si>
    <t>Debreceni járás</t>
  </si>
  <si>
    <t>Fenntartható Városfejlesztés</t>
  </si>
  <si>
    <t>I.</t>
  </si>
  <si>
    <t>Derecske</t>
  </si>
  <si>
    <t>Déli agglomerációs térség</t>
  </si>
  <si>
    <t>III.</t>
  </si>
  <si>
    <t>Ebes</t>
  </si>
  <si>
    <t>Hajdúszoboszlói járás</t>
  </si>
  <si>
    <t>Egyek</t>
  </si>
  <si>
    <t>Esztár</t>
  </si>
  <si>
    <t>Folyás</t>
  </si>
  <si>
    <t>Hajdúnánási járás</t>
  </si>
  <si>
    <t>Földes</t>
  </si>
  <si>
    <t>Furta</t>
  </si>
  <si>
    <t>Fülöp</t>
  </si>
  <si>
    <t>Gáborján</t>
  </si>
  <si>
    <t>28.</t>
  </si>
  <si>
    <t>Görbeháza</t>
  </si>
  <si>
    <t>Erősödő északnyugati kapu térsége</t>
  </si>
  <si>
    <t>IV.</t>
  </si>
  <si>
    <t>29.</t>
  </si>
  <si>
    <t>Hajdúbagos</t>
  </si>
  <si>
    <t xml:space="preserve">III. </t>
  </si>
  <si>
    <t>30.</t>
  </si>
  <si>
    <t>Hajdúböszörmény</t>
  </si>
  <si>
    <t>Hajdúböszörményi járás</t>
  </si>
  <si>
    <t>31.</t>
  </si>
  <si>
    <t>Hajdúdorog</t>
  </si>
  <si>
    <t>32.</t>
  </si>
  <si>
    <t>Hajdúhadház</t>
  </si>
  <si>
    <t>33.</t>
  </si>
  <si>
    <t>Hajdúnánás</t>
  </si>
  <si>
    <t>34.</t>
  </si>
  <si>
    <t>Hajdúsámson</t>
  </si>
  <si>
    <t>35.</t>
  </si>
  <si>
    <t>Hajdúszoboszló</t>
  </si>
  <si>
    <t>36.</t>
  </si>
  <si>
    <t>Hajdúszovát</t>
  </si>
  <si>
    <t>37.</t>
  </si>
  <si>
    <t>Hencida</t>
  </si>
  <si>
    <t>38.</t>
  </si>
  <si>
    <t>Hortobágy</t>
  </si>
  <si>
    <t>39.</t>
  </si>
  <si>
    <t>Hosszúpályi</t>
  </si>
  <si>
    <t>40.</t>
  </si>
  <si>
    <t>Kaba</t>
  </si>
  <si>
    <t>41.</t>
  </si>
  <si>
    <t>Kismarja</t>
  </si>
  <si>
    <t>42.</t>
  </si>
  <si>
    <t>Kokad</t>
  </si>
  <si>
    <t>43.</t>
  </si>
  <si>
    <t>Komádi</t>
  </si>
  <si>
    <t>44.</t>
  </si>
  <si>
    <t>Konyár</t>
  </si>
  <si>
    <t>45.</t>
  </si>
  <si>
    <t>Körösszakál</t>
  </si>
  <si>
    <t>46.</t>
  </si>
  <si>
    <t>Körösszegapáti</t>
  </si>
  <si>
    <t>47.</t>
  </si>
  <si>
    <t>Létavértes</t>
  </si>
  <si>
    <t>48.</t>
  </si>
  <si>
    <t>Magyarhomorog</t>
  </si>
  <si>
    <t>49.</t>
  </si>
  <si>
    <t>Mezőpeterd</t>
  </si>
  <si>
    <t>50.</t>
  </si>
  <si>
    <t>Mezősas</t>
  </si>
  <si>
    <t>51.</t>
  </si>
  <si>
    <t>Mikepércs</t>
  </si>
  <si>
    <t>52.</t>
  </si>
  <si>
    <t>Monostorpályi</t>
  </si>
  <si>
    <t>53.</t>
  </si>
  <si>
    <t>Nádudvar</t>
  </si>
  <si>
    <t>54.</t>
  </si>
  <si>
    <t>Nagyhegyes</t>
  </si>
  <si>
    <t>55.</t>
  </si>
  <si>
    <t>Nagykereki</t>
  </si>
  <si>
    <t>56.</t>
  </si>
  <si>
    <t>Nagyrábé</t>
  </si>
  <si>
    <t>57.</t>
  </si>
  <si>
    <t>Nyírábrány</t>
  </si>
  <si>
    <t>58.</t>
  </si>
  <si>
    <t>Nyíracsád</t>
  </si>
  <si>
    <t>59.</t>
  </si>
  <si>
    <t>Nyíradony</t>
  </si>
  <si>
    <t>60.</t>
  </si>
  <si>
    <t>Nyírmártonfalva</t>
  </si>
  <si>
    <t>61.</t>
  </si>
  <si>
    <t>Pocsaj</t>
  </si>
  <si>
    <t>62.</t>
  </si>
  <si>
    <t>Polgár</t>
  </si>
  <si>
    <t>63.</t>
  </si>
  <si>
    <t>Püspökladány</t>
  </si>
  <si>
    <t>64.</t>
  </si>
  <si>
    <t>Sáp</t>
  </si>
  <si>
    <t>65.</t>
  </si>
  <si>
    <t>Sáránd</t>
  </si>
  <si>
    <t>66.</t>
  </si>
  <si>
    <t>Sárrétudvari</t>
  </si>
  <si>
    <t>67.</t>
  </si>
  <si>
    <t>Szentpéterszeg</t>
  </si>
  <si>
    <t>68.</t>
  </si>
  <si>
    <t>Szerep</t>
  </si>
  <si>
    <t>69.</t>
  </si>
  <si>
    <t>Téglás</t>
  </si>
  <si>
    <t>70.</t>
  </si>
  <si>
    <t>Tépe</t>
  </si>
  <si>
    <t>71.</t>
  </si>
  <si>
    <t>Tetétlen</t>
  </si>
  <si>
    <t>72.</t>
  </si>
  <si>
    <t>Tiszacsege</t>
  </si>
  <si>
    <t>73.</t>
  </si>
  <si>
    <t>Tiszagyulaháza</t>
  </si>
  <si>
    <t>74.</t>
  </si>
  <si>
    <t>Told</t>
  </si>
  <si>
    <t>75.</t>
  </si>
  <si>
    <t>Újiráz</t>
  </si>
  <si>
    <t>76.</t>
  </si>
  <si>
    <t>Újléta</t>
  </si>
  <si>
    <t>77.</t>
  </si>
  <si>
    <t>Újszentmargita</t>
  </si>
  <si>
    <t>78.</t>
  </si>
  <si>
    <t>Újtikos</t>
  </si>
  <si>
    <t>79.</t>
  </si>
  <si>
    <t>Vámospércs</t>
  </si>
  <si>
    <t>80.</t>
  </si>
  <si>
    <t>Váncsod</t>
  </si>
  <si>
    <t>81.</t>
  </si>
  <si>
    <t>Vekerd</t>
  </si>
  <si>
    <t>82.</t>
  </si>
  <si>
    <t>Zsáka</t>
  </si>
  <si>
    <t>Megye által vállalt mérföldkő (2024)</t>
  </si>
  <si>
    <t>Felhívásra eső összeg 
(Mrd forint)</t>
  </si>
  <si>
    <t>Összes forrás 
(Mrd forint) (C=AF)</t>
  </si>
  <si>
    <t>Hajdú-Bihar Vármegye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</si>
</sst>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.000,,,"/>
    <numFmt numFmtId="166" formatCode="_-* #,##0\ _F_t_-;\-* #,##0\ _F_t_-;_-* &quot;-&quot;??\ _F_t_-;_-@_-"/>
    <numFmt numFmtId="167" formatCode="#,##0.000"/>
    <numFmt numFmtId="168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auto="1"/>
      </patternFill>
    </fill>
    <fill>
      <patternFill patternType="darkUp"/>
    </fill>
    <fill>
      <patternFill patternType="darkUp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24" borderId="0" applyNumberFormat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5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3" fillId="2" borderId="0" xfId="0" applyNumberFormat="1" applyFont="1" applyFill="1" applyAlignment="1">
      <alignment horizontal="left" wrapText="1"/>
    </xf>
    <xf numFmtId="2" fontId="3" fillId="2" borderId="0" xfId="0" applyNumberFormat="1" applyFont="1" applyFill="1"/>
    <xf numFmtId="0" fontId="3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165" fontId="2" fillId="2" borderId="0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6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2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2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" xfId="1" applyNumberFormat="1" applyFont="1" applyFill="1" applyBorder="1" applyAlignment="1" applyProtection="1">
      <alignment vertical="center" wrapText="1"/>
      <protection locked="0"/>
    </xf>
    <xf numFmtId="166" fontId="3" fillId="8" borderId="1" xfId="1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6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166" fontId="2" fillId="2" borderId="20" xfId="1" applyNumberFormat="1" applyFont="1" applyFill="1" applyBorder="1" applyAlignment="1" applyProtection="1">
      <alignment horizontal="center"/>
      <protection locked="0"/>
    </xf>
    <xf numFmtId="166" fontId="3" fillId="9" borderId="7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7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15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4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9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21" xfId="1" applyNumberFormat="1" applyFont="1" applyFill="1" applyBorder="1" applyAlignment="1" applyProtection="1">
      <alignment horizontal="left" vertical="center" wrapText="1"/>
      <protection locked="0"/>
    </xf>
    <xf numFmtId="166" fontId="2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6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166" fontId="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3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4" xfId="1" applyNumberFormat="1" applyFont="1" applyFill="1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center" vertical="center"/>
    </xf>
    <xf numFmtId="0" fontId="8" fillId="11" borderId="28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6" fontId="8" fillId="12" borderId="1" xfId="2" applyNumberFormat="1" applyFont="1" applyFill="1" applyBorder="1" applyAlignment="1">
      <alignment horizontal="center" vertical="center" wrapText="1"/>
    </xf>
    <xf numFmtId="166" fontId="8" fillId="4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/>
    <xf numFmtId="166" fontId="0" fillId="0" borderId="1" xfId="2" applyNumberFormat="1" applyFont="1" applyBorder="1"/>
    <xf numFmtId="166" fontId="8" fillId="0" borderId="1" xfId="2" applyNumberFormat="1" applyFont="1" applyBorder="1"/>
    <xf numFmtId="0" fontId="0" fillId="1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2" borderId="0" xfId="0" applyFill="1"/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left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2" borderId="1" xfId="0" applyFill="1" applyBorder="1"/>
    <xf numFmtId="0" fontId="8" fillId="2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11" borderId="1" xfId="0" applyFont="1" applyFill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0" fontId="0" fillId="24" borderId="1" xfId="3" applyFont="1" applyBorder="1" applyAlignment="1">
      <alignment horizontal="center" vertical="center" wrapText="1"/>
    </xf>
    <xf numFmtId="166" fontId="8" fillId="2" borderId="0" xfId="2" applyNumberFormat="1" applyFont="1" applyFill="1" applyBorder="1" applyAlignment="1">
      <alignment vertical="center" wrapText="1"/>
    </xf>
    <xf numFmtId="0" fontId="0" fillId="2" borderId="0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6" fontId="8" fillId="0" borderId="0" xfId="2" applyNumberFormat="1" applyFont="1" applyBorder="1"/>
    <xf numFmtId="166" fontId="0" fillId="0" borderId="0" xfId="2" applyNumberFormat="1" applyFont="1" applyBorder="1"/>
    <xf numFmtId="166" fontId="8" fillId="12" borderId="5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11" borderId="1" xfId="0" applyFont="1" applyFill="1" applyBorder="1" applyAlignment="1">
      <alignment horizontal="left" vertical="center" wrapText="1"/>
    </xf>
    <xf numFmtId="166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12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12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2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166" fontId="3" fillId="9" borderId="6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6" xfId="1" applyNumberFormat="1" applyFont="1" applyFill="1" applyBorder="1" applyAlignment="1" applyProtection="1">
      <alignment horizontal="left" vertical="center" wrapText="1"/>
      <protection locked="0"/>
    </xf>
    <xf numFmtId="166" fontId="2" fillId="8" borderId="6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 applyProtection="1">
      <alignment horizontal="right"/>
      <protection locked="0"/>
    </xf>
    <xf numFmtId="2" fontId="6" fillId="4" borderId="10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5" xfId="1" applyNumberFormat="1" applyFont="1" applyFill="1" applyBorder="1" applyAlignment="1" applyProtection="1">
      <alignment horizontal="right" vertical="center" wrapText="1"/>
      <protection locked="0"/>
    </xf>
    <xf numFmtId="166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3" fillId="9" borderId="1" xfId="1" applyNumberFormat="1" applyFont="1" applyFill="1" applyBorder="1" applyAlignment="1" applyProtection="1">
      <alignment horizontal="right" vertical="center" wrapText="1"/>
      <protection locked="0"/>
    </xf>
    <xf numFmtId="166" fontId="3" fillId="8" borderId="1" xfId="1" applyNumberFormat="1" applyFont="1" applyFill="1" applyBorder="1" applyAlignment="1" applyProtection="1">
      <alignment horizontal="right" vertical="center" wrapText="1"/>
      <protection locked="0"/>
    </xf>
    <xf numFmtId="166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166" fontId="2" fillId="8" borderId="1" xfId="1" applyNumberFormat="1" applyFont="1" applyFill="1" applyBorder="1" applyAlignment="1" applyProtection="1">
      <alignment horizontal="right" vertical="center" wrapText="1"/>
      <protection locked="0"/>
    </xf>
    <xf numFmtId="166" fontId="2" fillId="8" borderId="16" xfId="1" applyNumberFormat="1" applyFont="1" applyFill="1" applyBorder="1" applyAlignment="1" applyProtection="1">
      <alignment horizontal="right" vertical="center" wrapText="1"/>
      <protection locked="0"/>
    </xf>
    <xf numFmtId="166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166" fontId="3" fillId="10" borderId="1" xfId="1" applyNumberFormat="1" applyFont="1" applyFill="1" applyBorder="1" applyAlignment="1" applyProtection="1">
      <alignment horizontal="right" vertical="center" wrapText="1"/>
      <protection locked="0"/>
    </xf>
    <xf numFmtId="166" fontId="2" fillId="8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3" xfId="0" applyFont="1" applyBorder="1" applyAlignment="1">
      <alignment horizontal="left" wrapText="1"/>
    </xf>
    <xf numFmtId="2" fontId="3" fillId="0" borderId="33" xfId="0" applyNumberFormat="1" applyFont="1" applyBorder="1" applyAlignment="1">
      <alignment horizontal="left" wrapText="1"/>
    </xf>
    <xf numFmtId="2" fontId="3" fillId="0" borderId="33" xfId="0" applyNumberFormat="1" applyFont="1" applyBorder="1"/>
    <xf numFmtId="2" fontId="3" fillId="0" borderId="40" xfId="0" applyNumberFormat="1" applyFont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3" fontId="16" fillId="0" borderId="18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0" fillId="0" borderId="1" xfId="4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16" fillId="0" borderId="1" xfId="0" applyFont="1" applyBorder="1"/>
    <xf numFmtId="166" fontId="16" fillId="0" borderId="1" xfId="2" applyNumberFormat="1" applyFont="1" applyBorder="1"/>
    <xf numFmtId="166" fontId="16" fillId="0" borderId="1" xfId="2" applyNumberFormat="1" applyFont="1" applyFill="1" applyBorder="1"/>
    <xf numFmtId="3" fontId="16" fillId="0" borderId="1" xfId="0" applyNumberFormat="1" applyFont="1" applyBorder="1"/>
    <xf numFmtId="3" fontId="0" fillId="0" borderId="1" xfId="0" applyNumberFormat="1" applyBorder="1"/>
    <xf numFmtId="0" fontId="16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21" xfId="0" applyNumberFormat="1" applyBorder="1"/>
    <xf numFmtId="3" fontId="0" fillId="0" borderId="23" xfId="0" applyNumberFormat="1" applyBorder="1"/>
    <xf numFmtId="3" fontId="10" fillId="0" borderId="11" xfId="0" applyNumberFormat="1" applyFont="1" applyBorder="1"/>
    <xf numFmtId="0" fontId="20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2" fillId="21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8" fontId="0" fillId="6" borderId="1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7" fontId="0" fillId="6" borderId="1" xfId="0" applyNumberFormat="1" applyFill="1" applyBorder="1" applyAlignment="1">
      <alignment horizontal="center" vertical="center"/>
    </xf>
    <xf numFmtId="165" fontId="19" fillId="17" borderId="1" xfId="0" applyNumberFormat="1" applyFont="1" applyFill="1" applyBorder="1" applyAlignment="1" applyProtection="1">
      <alignment horizontal="center" vertical="center"/>
      <protection locked="0"/>
    </xf>
    <xf numFmtId="165" fontId="19" fillId="17" borderId="1" xfId="0" applyNumberFormat="1" applyFont="1" applyFill="1" applyBorder="1" applyAlignment="1">
      <alignment horizontal="center" vertical="center"/>
    </xf>
    <xf numFmtId="165" fontId="19" fillId="17" borderId="1" xfId="0" applyNumberFormat="1" applyFont="1" applyFill="1" applyBorder="1" applyAlignment="1" applyProtection="1">
      <alignment horizontal="right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wrapText="1"/>
    </xf>
    <xf numFmtId="166" fontId="6" fillId="25" borderId="37" xfId="2" applyNumberFormat="1" applyFont="1" applyFill="1" applyBorder="1" applyAlignment="1">
      <alignment horizontal="center" vertical="center" wrapText="1"/>
    </xf>
    <xf numFmtId="166" fontId="6" fillId="25" borderId="41" xfId="2" applyNumberFormat="1" applyFont="1" applyFill="1" applyBorder="1" applyAlignment="1">
      <alignment horizontal="center" vertical="center" wrapText="1"/>
    </xf>
    <xf numFmtId="0" fontId="6" fillId="5" borderId="33" xfId="3" applyFont="1" applyFill="1" applyBorder="1" applyAlignment="1">
      <alignment horizontal="center" vertical="center" wrapText="1"/>
    </xf>
    <xf numFmtId="0" fontId="6" fillId="5" borderId="42" xfId="3" applyFont="1" applyFill="1" applyBorder="1" applyAlignment="1">
      <alignment horizontal="center" vertical="center" wrapText="1"/>
    </xf>
    <xf numFmtId="0" fontId="6" fillId="4" borderId="38" xfId="3" applyFont="1" applyFill="1" applyBorder="1" applyAlignment="1">
      <alignment horizontal="center" vertical="center" wrapText="1"/>
    </xf>
    <xf numFmtId="0" fontId="6" fillId="4" borderId="39" xfId="3" applyFont="1" applyFill="1" applyBorder="1" applyAlignment="1">
      <alignment horizontal="center" vertical="center" wrapText="1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166" fontId="2" fillId="7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166" fontId="2" fillId="6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166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vertical="center" wrapText="1"/>
      <protection locked="0"/>
    </xf>
    <xf numFmtId="166" fontId="2" fillId="7" borderId="5" xfId="1" applyNumberFormat="1" applyFont="1" applyFill="1" applyBorder="1" applyAlignment="1" applyProtection="1">
      <alignment horizontal="center" vertical="center" wrapText="1"/>
      <protection locked="0"/>
    </xf>
    <xf numFmtId="166" fontId="8" fillId="25" borderId="5" xfId="2" applyNumberFormat="1" applyFont="1" applyFill="1" applyBorder="1" applyAlignment="1">
      <alignment horizontal="center" vertical="center" wrapText="1"/>
    </xf>
    <xf numFmtId="166" fontId="8" fillId="25" borderId="1" xfId="2" applyNumberFormat="1" applyFont="1" applyFill="1" applyBorder="1" applyAlignment="1">
      <alignment horizontal="center" vertical="center" wrapText="1"/>
    </xf>
    <xf numFmtId="166" fontId="8" fillId="12" borderId="5" xfId="2" applyNumberFormat="1" applyFont="1" applyFill="1" applyBorder="1" applyAlignment="1">
      <alignment horizontal="center" vertical="center" wrapText="1"/>
    </xf>
    <xf numFmtId="0" fontId="0" fillId="13" borderId="32" xfId="0" applyFill="1" applyBorder="1" applyAlignment="1">
      <alignment horizontal="left"/>
    </xf>
    <xf numFmtId="0" fontId="7" fillId="13" borderId="32" xfId="0" applyFont="1" applyFill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center" vertical="center"/>
    </xf>
    <xf numFmtId="0" fontId="13" fillId="19" borderId="5" xfId="0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vertical="center" wrapText="1"/>
    </xf>
    <xf numFmtId="0" fontId="13" fillId="19" borderId="5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/>
    </xf>
    <xf numFmtId="0" fontId="8" fillId="23" borderId="4" xfId="0" applyFont="1" applyFill="1" applyBorder="1" applyAlignment="1">
      <alignment horizontal="center" vertical="center" wrapText="1"/>
    </xf>
    <xf numFmtId="0" fontId="8" fillId="23" borderId="5" xfId="0" applyFont="1" applyFill="1" applyBorder="1" applyAlignment="1">
      <alignment horizontal="center" vertical="center" wrapText="1"/>
    </xf>
    <xf numFmtId="0" fontId="8" fillId="23" borderId="8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7" fillId="13" borderId="32" xfId="0" applyFont="1" applyFill="1" applyBorder="1" applyAlignment="1">
      <alignment horizontal="left"/>
    </xf>
    <xf numFmtId="0" fontId="12" fillId="16" borderId="1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31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16" fillId="13" borderId="0" xfId="0" applyFont="1" applyFill="1" applyAlignment="1">
      <alignment horizontal="left"/>
    </xf>
    <xf numFmtId="0" fontId="3" fillId="0" borderId="36" xfId="0" applyFont="1" applyBorder="1" applyAlignment="1">
      <alignment horizontal="left" vertical="center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3" fillId="15" borderId="18" xfId="0" applyFont="1" applyFill="1" applyBorder="1" applyAlignment="1">
      <alignment horizontal="center" vertical="center"/>
    </xf>
    <xf numFmtId="0" fontId="23" fillId="15" borderId="3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0" borderId="0" xfId="0" applyFont="1"/>
    <xf numFmtId="0" fontId="24" fillId="15" borderId="1" xfId="0" applyFont="1" applyFill="1" applyBorder="1" applyAlignment="1">
      <alignment vertical="center" wrapText="1"/>
    </xf>
    <xf numFmtId="49" fontId="16" fillId="15" borderId="6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3" fontId="16" fillId="15" borderId="5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2" fillId="16" borderId="5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165" fontId="19" fillId="16" borderId="1" xfId="0" applyNumberFormat="1" applyFont="1" applyFill="1" applyBorder="1" applyAlignment="1">
      <alignment horizontal="center" vertical="center"/>
    </xf>
    <xf numFmtId="165" fontId="19" fillId="15" borderId="1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165" fontId="12" fillId="15" borderId="1" xfId="0" applyNumberFormat="1" applyFont="1" applyFill="1" applyBorder="1" applyAlignment="1">
      <alignment horizontal="center"/>
    </xf>
    <xf numFmtId="165" fontId="12" fillId="15" borderId="1" xfId="0" applyNumberFormat="1" applyFont="1" applyFill="1" applyBorder="1"/>
  </cellXfs>
  <cellStyles count="5">
    <cellStyle name="Ezres" xfId="1" builtinId="3"/>
    <cellStyle name="Ezres 2" xfId="2" xr:uid="{00000000-0005-0000-0000-000001000000}"/>
    <cellStyle name="Jó" xfId="3" builtinId="26"/>
    <cellStyle name="Normál" xfId="0" builtinId="0"/>
    <cellStyle name="Százalék" xfId="4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"/>
  <sheetViews>
    <sheetView tabSelected="1" zoomScale="70" zoomScaleNormal="70" workbookViewId="0">
      <selection activeCell="F2" sqref="F2"/>
    </sheetView>
  </sheetViews>
  <sheetFormatPr defaultColWidth="0" defaultRowHeight="18.75" customHeight="1" x14ac:dyDescent="0.25"/>
  <cols>
    <col min="1" max="1" width="16.6640625" style="259" customWidth="1"/>
    <col min="2" max="2" width="19.44140625" style="260" customWidth="1"/>
    <col min="3" max="3" width="28.5546875" style="261" customWidth="1"/>
    <col min="4" max="4" width="19.44140625" style="262" customWidth="1"/>
    <col min="5" max="5" width="46.6640625" style="261" customWidth="1"/>
    <col min="6" max="6" width="31.33203125" style="256" customWidth="1"/>
    <col min="7" max="7" width="24.44140625" style="256" customWidth="1"/>
    <col min="8" max="8" width="26.88671875" style="257" customWidth="1"/>
    <col min="9" max="15" width="27" style="257" customWidth="1"/>
    <col min="16" max="16" width="27" style="258" customWidth="1"/>
    <col min="17" max="17" width="27" style="257" customWidth="1"/>
    <col min="18" max="18" width="28.109375" style="243" customWidth="1"/>
    <col min="19" max="19" width="9.109375" style="9" customWidth="1"/>
    <col min="20" max="16384" width="9.109375" style="243" hidden="1"/>
  </cols>
  <sheetData>
    <row r="1" spans="1:19" ht="18.75" customHeight="1" x14ac:dyDescent="0.25">
      <c r="A1" s="27" t="s">
        <v>90</v>
      </c>
      <c r="B1" s="28" t="s">
        <v>311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43"/>
      <c r="Q1" s="3"/>
      <c r="R1" s="3"/>
    </row>
    <row r="2" spans="1:19" ht="60" x14ac:dyDescent="0.25">
      <c r="A2" s="29" t="s">
        <v>285</v>
      </c>
      <c r="B2" s="30">
        <v>127322000000</v>
      </c>
      <c r="C2" s="4"/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144"/>
      <c r="Q2" s="8"/>
      <c r="R2" s="9"/>
    </row>
    <row r="3" spans="1:19" ht="18.75" customHeight="1" x14ac:dyDescent="0.25">
      <c r="A3" s="10"/>
      <c r="B3" s="3"/>
      <c r="C3" s="4"/>
      <c r="D3" s="5"/>
      <c r="E3" s="6"/>
      <c r="F3" s="7"/>
      <c r="G3" s="7"/>
      <c r="H3" s="8"/>
      <c r="I3" s="8"/>
      <c r="J3" s="8"/>
      <c r="K3" s="8"/>
      <c r="L3" s="8"/>
      <c r="M3" s="8"/>
      <c r="N3" s="8"/>
      <c r="O3" s="8"/>
      <c r="P3" s="144"/>
      <c r="Q3" s="8"/>
      <c r="R3" s="9"/>
    </row>
    <row r="4" spans="1:19" ht="18.75" customHeight="1" x14ac:dyDescent="0.25">
      <c r="A4" s="212" t="s">
        <v>32</v>
      </c>
      <c r="B4" s="212"/>
      <c r="C4" s="4"/>
      <c r="D4" s="5"/>
      <c r="E4" s="6"/>
      <c r="F4" s="7"/>
      <c r="G4" s="7"/>
      <c r="H4" s="8"/>
      <c r="I4" s="8"/>
      <c r="J4" s="8"/>
      <c r="K4" s="8"/>
      <c r="L4" s="8"/>
      <c r="M4" s="8"/>
      <c r="N4" s="8"/>
      <c r="O4" s="8"/>
      <c r="P4" s="144"/>
      <c r="Q4" s="8"/>
      <c r="R4" s="9"/>
    </row>
    <row r="5" spans="1:19" ht="24" x14ac:dyDescent="0.25">
      <c r="A5" s="31"/>
      <c r="B5" s="31" t="s">
        <v>33</v>
      </c>
      <c r="C5" s="31" t="s">
        <v>34</v>
      </c>
      <c r="D5" s="31" t="s">
        <v>75</v>
      </c>
      <c r="E5" s="31" t="s">
        <v>76</v>
      </c>
      <c r="F5" s="31" t="s">
        <v>77</v>
      </c>
      <c r="G5" s="31" t="s">
        <v>78</v>
      </c>
      <c r="H5" s="31" t="s">
        <v>99</v>
      </c>
      <c r="I5" s="31" t="s">
        <v>100</v>
      </c>
      <c r="J5" s="32" t="s">
        <v>101</v>
      </c>
      <c r="K5" s="8"/>
      <c r="L5" s="8"/>
      <c r="M5" s="8"/>
      <c r="N5" s="8"/>
      <c r="O5" s="8"/>
      <c r="P5" s="144"/>
      <c r="Q5" s="8"/>
      <c r="R5" s="9"/>
    </row>
    <row r="6" spans="1:19" ht="18.75" customHeight="1" x14ac:dyDescent="0.25">
      <c r="A6" s="31" t="s">
        <v>91</v>
      </c>
      <c r="B6" s="33">
        <f>+B10</f>
        <v>56708072998</v>
      </c>
      <c r="C6" s="34">
        <f>+B23</f>
        <v>12341446473</v>
      </c>
      <c r="D6" s="34">
        <f>+D30+D34</f>
        <v>15400000000</v>
      </c>
      <c r="E6" s="34">
        <f>+D36+D44</f>
        <v>17243450341</v>
      </c>
      <c r="F6" s="34">
        <f>+D6+E6</f>
        <v>32643450341</v>
      </c>
      <c r="G6" s="34">
        <f>+B46</f>
        <v>25629030188</v>
      </c>
      <c r="H6" s="33">
        <f>+B6+C6+E6+G6</f>
        <v>111922000000</v>
      </c>
      <c r="I6" s="33">
        <f>+D6</f>
        <v>15400000000</v>
      </c>
      <c r="J6" s="33">
        <f>+H6+I6</f>
        <v>127322000000</v>
      </c>
      <c r="K6" s="8"/>
      <c r="L6" s="8"/>
      <c r="M6" s="8"/>
      <c r="N6" s="8"/>
      <c r="O6" s="8"/>
      <c r="P6" s="144"/>
      <c r="Q6" s="8"/>
      <c r="R6" s="9"/>
    </row>
    <row r="7" spans="1:19" ht="18.75" customHeight="1" x14ac:dyDescent="0.25">
      <c r="A7" s="6"/>
      <c r="B7" s="6"/>
      <c r="C7" s="6"/>
      <c r="D7" s="6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144"/>
      <c r="Q7" s="8"/>
      <c r="R7" s="9"/>
    </row>
    <row r="8" spans="1:19" ht="18.75" customHeight="1" thickBot="1" x14ac:dyDescent="0.3">
      <c r="A8" s="213" t="s">
        <v>11</v>
      </c>
      <c r="B8" s="213"/>
      <c r="C8" s="35"/>
      <c r="D8" s="36"/>
      <c r="E8" s="11"/>
      <c r="F8" s="12"/>
      <c r="G8" s="12"/>
      <c r="H8" s="13"/>
      <c r="I8" s="13"/>
      <c r="J8" s="13"/>
      <c r="K8" s="13"/>
      <c r="L8" s="13"/>
      <c r="M8" s="13"/>
      <c r="N8" s="13"/>
      <c r="O8" s="13"/>
      <c r="P8" s="145"/>
      <c r="Q8" s="13"/>
      <c r="R8" s="14"/>
    </row>
    <row r="9" spans="1:19" s="245" customFormat="1" ht="101.4" thickBot="1" x14ac:dyDescent="0.35">
      <c r="A9" s="39" t="s">
        <v>0</v>
      </c>
      <c r="B9" s="40" t="s">
        <v>46</v>
      </c>
      <c r="C9" s="41" t="s">
        <v>24</v>
      </c>
      <c r="D9" s="40" t="s">
        <v>35</v>
      </c>
      <c r="E9" s="41" t="s">
        <v>10</v>
      </c>
      <c r="F9" s="42" t="s">
        <v>36</v>
      </c>
      <c r="G9" s="53" t="s">
        <v>37</v>
      </c>
      <c r="H9" s="40" t="s">
        <v>312</v>
      </c>
      <c r="I9" s="40" t="s">
        <v>313</v>
      </c>
      <c r="J9" s="40" t="s">
        <v>314</v>
      </c>
      <c r="K9" s="40" t="s">
        <v>315</v>
      </c>
      <c r="L9" s="40" t="s">
        <v>316</v>
      </c>
      <c r="M9" s="40" t="s">
        <v>317</v>
      </c>
      <c r="N9" s="40" t="s">
        <v>318</v>
      </c>
      <c r="O9" s="40" t="s">
        <v>98</v>
      </c>
      <c r="P9" s="146" t="s">
        <v>60</v>
      </c>
      <c r="Q9" s="142" t="s">
        <v>283</v>
      </c>
      <c r="R9" s="49" t="s">
        <v>38</v>
      </c>
      <c r="S9" s="244"/>
    </row>
    <row r="10" spans="1:19" ht="32.4" customHeight="1" x14ac:dyDescent="0.25">
      <c r="A10" s="202" t="s">
        <v>92</v>
      </c>
      <c r="B10" s="204">
        <f>+D10+D12+D20</f>
        <v>56708072998</v>
      </c>
      <c r="C10" s="214" t="s">
        <v>40</v>
      </c>
      <c r="D10" s="210">
        <f>+F11</f>
        <v>100000000</v>
      </c>
      <c r="E10" s="37" t="s">
        <v>41</v>
      </c>
      <c r="F10" s="128">
        <v>100000000</v>
      </c>
      <c r="G10" s="54"/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135">
        <v>100000000</v>
      </c>
      <c r="P10" s="147">
        <v>0</v>
      </c>
      <c r="Q10" s="55">
        <v>0</v>
      </c>
      <c r="R10" s="50">
        <f>SUM(G10:Q10)</f>
        <v>100000000</v>
      </c>
    </row>
    <row r="11" spans="1:19" ht="26.25" customHeight="1" x14ac:dyDescent="0.25">
      <c r="A11" s="202"/>
      <c r="B11" s="204"/>
      <c r="C11" s="207"/>
      <c r="D11" s="215"/>
      <c r="E11" s="17" t="s">
        <v>25</v>
      </c>
      <c r="F11" s="129">
        <f>SUM(F10:F10)</f>
        <v>100000000</v>
      </c>
      <c r="G11" s="56"/>
      <c r="H11" s="18">
        <f t="shared" ref="H11:O11" si="0">SUM(H10:H10)</f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100000000</v>
      </c>
      <c r="P11" s="148">
        <f t="shared" ref="P11:Q11" si="1">SUM(P10:P10)</f>
        <v>0</v>
      </c>
      <c r="Q11" s="57">
        <f t="shared" si="1"/>
        <v>0</v>
      </c>
      <c r="R11" s="50">
        <f>SUM(G11:Q11)</f>
        <v>100000000</v>
      </c>
    </row>
    <row r="12" spans="1:19" ht="18.75" customHeight="1" x14ac:dyDescent="0.25">
      <c r="A12" s="202"/>
      <c r="B12" s="204"/>
      <c r="C12" s="205" t="s">
        <v>1</v>
      </c>
      <c r="D12" s="215">
        <f>+F19</f>
        <v>34007320128</v>
      </c>
      <c r="E12" s="19" t="s">
        <v>2</v>
      </c>
      <c r="F12" s="130">
        <f>20956247572+2907</f>
        <v>20956250479</v>
      </c>
      <c r="G12" s="56"/>
      <c r="H12" s="20">
        <f>4791427554</f>
        <v>4791427554</v>
      </c>
      <c r="I12" s="20">
        <f>2644358888</f>
        <v>2644358888</v>
      </c>
      <c r="J12" s="20">
        <f>2629066323+32058410</f>
        <v>2661124733</v>
      </c>
      <c r="K12" s="20">
        <v>1669675112</v>
      </c>
      <c r="L12" s="20">
        <v>2481710054</v>
      </c>
      <c r="M12" s="20">
        <v>3939773354</v>
      </c>
      <c r="N12" s="20">
        <f>2409122666-32058410</f>
        <v>2377064256</v>
      </c>
      <c r="O12" s="20">
        <f>391113621+2907</f>
        <v>391116528</v>
      </c>
      <c r="P12" s="149">
        <v>0</v>
      </c>
      <c r="Q12" s="58">
        <v>0</v>
      </c>
      <c r="R12" s="50">
        <f>SUM(G12:Q12)</f>
        <v>20956250479</v>
      </c>
    </row>
    <row r="13" spans="1:19" ht="18.75" customHeight="1" x14ac:dyDescent="0.25">
      <c r="A13" s="202"/>
      <c r="B13" s="204"/>
      <c r="C13" s="206"/>
      <c r="D13" s="215"/>
      <c r="E13" s="21" t="s">
        <v>12</v>
      </c>
      <c r="F13" s="131">
        <v>2885127162</v>
      </c>
      <c r="G13" s="59"/>
      <c r="H13" s="47"/>
      <c r="I13" s="47"/>
      <c r="J13" s="47"/>
      <c r="K13" s="47"/>
      <c r="L13" s="47"/>
      <c r="M13" s="47"/>
      <c r="N13" s="47"/>
      <c r="O13" s="136"/>
      <c r="P13" s="150"/>
      <c r="Q13" s="60"/>
      <c r="R13" s="51"/>
    </row>
    <row r="14" spans="1:19" ht="18.75" customHeight="1" x14ac:dyDescent="0.25">
      <c r="A14" s="202"/>
      <c r="B14" s="204"/>
      <c r="C14" s="206"/>
      <c r="D14" s="215"/>
      <c r="E14" s="21" t="s">
        <v>5</v>
      </c>
      <c r="F14" s="131">
        <v>4898963005</v>
      </c>
      <c r="G14" s="59"/>
      <c r="H14" s="47"/>
      <c r="I14" s="47"/>
      <c r="J14" s="47"/>
      <c r="K14" s="47"/>
      <c r="L14" s="47"/>
      <c r="M14" s="47"/>
      <c r="N14" s="47"/>
      <c r="O14" s="136"/>
      <c r="P14" s="150"/>
      <c r="Q14" s="60"/>
      <c r="R14" s="51"/>
    </row>
    <row r="15" spans="1:19" ht="18.75" customHeight="1" x14ac:dyDescent="0.25">
      <c r="A15" s="202"/>
      <c r="B15" s="204"/>
      <c r="C15" s="206"/>
      <c r="D15" s="215"/>
      <c r="E15" s="21" t="s">
        <v>6</v>
      </c>
      <c r="F15" s="131">
        <v>3764709176</v>
      </c>
      <c r="G15" s="59"/>
      <c r="H15" s="47"/>
      <c r="I15" s="47"/>
      <c r="J15" s="47"/>
      <c r="K15" s="47"/>
      <c r="L15" s="47"/>
      <c r="M15" s="47"/>
      <c r="N15" s="47"/>
      <c r="O15" s="136"/>
      <c r="P15" s="150"/>
      <c r="Q15" s="60"/>
      <c r="R15" s="51"/>
    </row>
    <row r="16" spans="1:19" ht="18.75" customHeight="1" x14ac:dyDescent="0.25">
      <c r="A16" s="202"/>
      <c r="B16" s="204"/>
      <c r="C16" s="206"/>
      <c r="D16" s="215"/>
      <c r="E16" s="15" t="s">
        <v>42</v>
      </c>
      <c r="F16" s="130">
        <f>488000000</f>
        <v>488000000</v>
      </c>
      <c r="G16" s="56"/>
      <c r="H16" s="20">
        <v>108990130</v>
      </c>
      <c r="I16" s="20">
        <v>0</v>
      </c>
      <c r="J16" s="20"/>
      <c r="K16" s="20">
        <v>140686038</v>
      </c>
      <c r="L16" s="20">
        <v>0</v>
      </c>
      <c r="M16" s="20">
        <f>97637795+26362205</f>
        <v>124000000</v>
      </c>
      <c r="N16" s="20">
        <f>140686037-26362205</f>
        <v>114323832</v>
      </c>
      <c r="O16" s="20">
        <v>0</v>
      </c>
      <c r="P16" s="149">
        <v>0</v>
      </c>
      <c r="Q16" s="58">
        <v>0</v>
      </c>
      <c r="R16" s="50">
        <f>SUM(G16:Q16)</f>
        <v>488000000</v>
      </c>
    </row>
    <row r="17" spans="1:18" ht="18.75" customHeight="1" x14ac:dyDescent="0.25">
      <c r="A17" s="202"/>
      <c r="B17" s="204"/>
      <c r="C17" s="206"/>
      <c r="D17" s="215"/>
      <c r="E17" s="22" t="s">
        <v>13</v>
      </c>
      <c r="F17" s="130">
        <v>12563069649</v>
      </c>
      <c r="G17" s="56"/>
      <c r="H17" s="20">
        <v>2698074989</v>
      </c>
      <c r="I17" s="20">
        <v>1313835206</v>
      </c>
      <c r="J17" s="20">
        <v>1090032733</v>
      </c>
      <c r="K17" s="20">
        <v>1474516419</v>
      </c>
      <c r="L17" s="20">
        <v>2230110715</v>
      </c>
      <c r="M17" s="20">
        <v>1632211182</v>
      </c>
      <c r="N17" s="20">
        <v>2124288405</v>
      </c>
      <c r="O17" s="20">
        <v>0</v>
      </c>
      <c r="P17" s="149">
        <v>0</v>
      </c>
      <c r="Q17" s="58">
        <v>0</v>
      </c>
      <c r="R17" s="50">
        <f>SUM(G17:Q17)</f>
        <v>12563069649</v>
      </c>
    </row>
    <row r="18" spans="1:18" ht="24" x14ac:dyDescent="0.25">
      <c r="A18" s="202"/>
      <c r="B18" s="204"/>
      <c r="C18" s="206"/>
      <c r="D18" s="215"/>
      <c r="E18" s="22" t="s">
        <v>59</v>
      </c>
      <c r="F18" s="130">
        <v>0</v>
      </c>
      <c r="G18" s="56"/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49">
        <v>0</v>
      </c>
      <c r="Q18" s="58">
        <v>0</v>
      </c>
      <c r="R18" s="50">
        <f>SUM(H18:Q18)</f>
        <v>0</v>
      </c>
    </row>
    <row r="19" spans="1:18" ht="18.75" customHeight="1" x14ac:dyDescent="0.25">
      <c r="A19" s="202"/>
      <c r="B19" s="204"/>
      <c r="C19" s="207"/>
      <c r="D19" s="215"/>
      <c r="E19" s="17" t="s">
        <v>26</v>
      </c>
      <c r="F19" s="129">
        <f>+F12+F16+F17+F18</f>
        <v>34007320128</v>
      </c>
      <c r="G19" s="56"/>
      <c r="H19" s="18">
        <f>+H16+H12+H17+H18</f>
        <v>7598492673</v>
      </c>
      <c r="I19" s="18">
        <f t="shared" ref="I19:O19" si="2">+I16+I12+I17+I18</f>
        <v>3958194094</v>
      </c>
      <c r="J19" s="18">
        <f t="shared" si="2"/>
        <v>3751157466</v>
      </c>
      <c r="K19" s="18">
        <f t="shared" si="2"/>
        <v>3284877569</v>
      </c>
      <c r="L19" s="18">
        <f t="shared" si="2"/>
        <v>4711820769</v>
      </c>
      <c r="M19" s="18">
        <f t="shared" si="2"/>
        <v>5695984536</v>
      </c>
      <c r="N19" s="18">
        <f t="shared" si="2"/>
        <v>4615676493</v>
      </c>
      <c r="O19" s="18">
        <f t="shared" si="2"/>
        <v>391116528</v>
      </c>
      <c r="P19" s="148">
        <f>+P16+P12+P17+P18</f>
        <v>0</v>
      </c>
      <c r="Q19" s="57">
        <f t="shared" ref="Q19" si="3">+Q16+Q12+Q17+Q18</f>
        <v>0</v>
      </c>
      <c r="R19" s="50">
        <f t="shared" ref="R19:R36" si="4">SUM(G19:Q19)</f>
        <v>34007320128</v>
      </c>
    </row>
    <row r="20" spans="1:18" ht="18.75" customHeight="1" x14ac:dyDescent="0.25">
      <c r="A20" s="202"/>
      <c r="B20" s="204"/>
      <c r="C20" s="205" t="s">
        <v>17</v>
      </c>
      <c r="D20" s="208">
        <f>+F22</f>
        <v>22600752870</v>
      </c>
      <c r="E20" s="19" t="s">
        <v>18</v>
      </c>
      <c r="F20" s="131">
        <v>105000000</v>
      </c>
      <c r="G20" s="61">
        <f>+F20</f>
        <v>105000000</v>
      </c>
      <c r="H20" s="44"/>
      <c r="I20" s="45"/>
      <c r="J20" s="45"/>
      <c r="K20" s="45"/>
      <c r="L20" s="45"/>
      <c r="M20" s="45"/>
      <c r="N20" s="45"/>
      <c r="O20" s="137"/>
      <c r="P20" s="151"/>
      <c r="Q20" s="62"/>
      <c r="R20" s="50">
        <f t="shared" si="4"/>
        <v>105000000</v>
      </c>
    </row>
    <row r="21" spans="1:18" ht="18.75" customHeight="1" x14ac:dyDescent="0.25">
      <c r="A21" s="202"/>
      <c r="B21" s="204"/>
      <c r="C21" s="206"/>
      <c r="D21" s="209"/>
      <c r="E21" s="19" t="s">
        <v>43</v>
      </c>
      <c r="F21" s="131">
        <f>13015752870+1420000000+8060000000</f>
        <v>22495752870</v>
      </c>
      <c r="G21" s="61">
        <f>+F21</f>
        <v>22495752870</v>
      </c>
      <c r="H21" s="44"/>
      <c r="I21" s="45"/>
      <c r="J21" s="45"/>
      <c r="K21" s="45"/>
      <c r="L21" s="45"/>
      <c r="M21" s="45"/>
      <c r="N21" s="45"/>
      <c r="O21" s="137"/>
      <c r="P21" s="151"/>
      <c r="Q21" s="62"/>
      <c r="R21" s="50">
        <f t="shared" si="4"/>
        <v>22495752870</v>
      </c>
    </row>
    <row r="22" spans="1:18" ht="18.75" customHeight="1" x14ac:dyDescent="0.25">
      <c r="A22" s="216"/>
      <c r="B22" s="217"/>
      <c r="C22" s="207"/>
      <c r="D22" s="210"/>
      <c r="E22" s="17" t="s">
        <v>27</v>
      </c>
      <c r="F22" s="129">
        <f>SUM(F20:F21)</f>
        <v>22600752870</v>
      </c>
      <c r="G22" s="63">
        <f>SUM(G20:G21)</f>
        <v>22600752870</v>
      </c>
      <c r="H22" s="44"/>
      <c r="I22" s="45"/>
      <c r="J22" s="45"/>
      <c r="K22" s="45"/>
      <c r="L22" s="45"/>
      <c r="M22" s="45"/>
      <c r="N22" s="45"/>
      <c r="O22" s="137"/>
      <c r="P22" s="151"/>
      <c r="Q22" s="62"/>
      <c r="R22" s="50">
        <f t="shared" si="4"/>
        <v>22600752870</v>
      </c>
    </row>
    <row r="23" spans="1:18" ht="18.75" customHeight="1" x14ac:dyDescent="0.25">
      <c r="A23" s="201" t="s">
        <v>93</v>
      </c>
      <c r="B23" s="203">
        <f>+D23</f>
        <v>12341446473</v>
      </c>
      <c r="C23" s="205" t="s">
        <v>96</v>
      </c>
      <c r="D23" s="208">
        <f>+F29</f>
        <v>12341446473</v>
      </c>
      <c r="E23" s="15" t="s">
        <v>19</v>
      </c>
      <c r="F23" s="131">
        <v>8068934876</v>
      </c>
      <c r="G23" s="56">
        <v>0</v>
      </c>
      <c r="H23" s="16">
        <v>957852168</v>
      </c>
      <c r="I23" s="20">
        <v>1029067275</v>
      </c>
      <c r="J23" s="20">
        <v>1405751771</v>
      </c>
      <c r="K23" s="20">
        <v>1276590867</v>
      </c>
      <c r="L23" s="20">
        <f>1003451051+33945225</f>
        <v>1037396276</v>
      </c>
      <c r="M23" s="20">
        <f>1235449873-33945225</f>
        <v>1201504648</v>
      </c>
      <c r="N23" s="16">
        <v>1060771871</v>
      </c>
      <c r="O23" s="16">
        <v>100000000</v>
      </c>
      <c r="P23" s="152">
        <v>0</v>
      </c>
      <c r="Q23" s="64">
        <v>0</v>
      </c>
      <c r="R23" s="50">
        <f t="shared" si="4"/>
        <v>8068934876</v>
      </c>
    </row>
    <row r="24" spans="1:18" ht="18.75" customHeight="1" x14ac:dyDescent="0.25">
      <c r="A24" s="202"/>
      <c r="B24" s="204"/>
      <c r="C24" s="206"/>
      <c r="D24" s="209"/>
      <c r="E24" s="15" t="s">
        <v>20</v>
      </c>
      <c r="F24" s="131">
        <v>0</v>
      </c>
      <c r="G24" s="61">
        <v>0</v>
      </c>
      <c r="H24" s="43"/>
      <c r="I24" s="43"/>
      <c r="J24" s="43"/>
      <c r="K24" s="43"/>
      <c r="L24" s="43"/>
      <c r="M24" s="43"/>
      <c r="N24" s="43"/>
      <c r="O24" s="138"/>
      <c r="P24" s="153"/>
      <c r="Q24" s="65"/>
      <c r="R24" s="50">
        <f t="shared" si="4"/>
        <v>0</v>
      </c>
    </row>
    <row r="25" spans="1:18" ht="24" x14ac:dyDescent="0.25">
      <c r="A25" s="202"/>
      <c r="B25" s="204"/>
      <c r="C25" s="206"/>
      <c r="D25" s="209"/>
      <c r="E25" s="46" t="s">
        <v>286</v>
      </c>
      <c r="F25" s="132"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153"/>
      <c r="Q25" s="43"/>
      <c r="R25" s="50">
        <f t="shared" si="4"/>
        <v>0</v>
      </c>
    </row>
    <row r="26" spans="1:18" ht="24" x14ac:dyDescent="0.25">
      <c r="A26" s="202"/>
      <c r="B26" s="204"/>
      <c r="C26" s="206"/>
      <c r="D26" s="209"/>
      <c r="E26" s="46" t="s">
        <v>287</v>
      </c>
      <c r="F26" s="131">
        <v>0</v>
      </c>
      <c r="G26" s="56"/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39">
        <v>0</v>
      </c>
      <c r="P26" s="152">
        <v>0</v>
      </c>
      <c r="Q26" s="64">
        <v>0</v>
      </c>
      <c r="R26" s="50">
        <f t="shared" si="4"/>
        <v>0</v>
      </c>
    </row>
    <row r="27" spans="1:18" ht="24" x14ac:dyDescent="0.25">
      <c r="A27" s="202"/>
      <c r="B27" s="204"/>
      <c r="C27" s="206"/>
      <c r="D27" s="209"/>
      <c r="E27" s="46" t="s">
        <v>288</v>
      </c>
      <c r="F27" s="133">
        <v>0</v>
      </c>
      <c r="G27" s="56"/>
      <c r="H27" s="56"/>
      <c r="I27" s="56"/>
      <c r="J27" s="56"/>
      <c r="K27" s="56"/>
      <c r="L27" s="56"/>
      <c r="M27" s="56"/>
      <c r="N27" s="56"/>
      <c r="O27" s="56"/>
      <c r="P27" s="154"/>
      <c r="Q27" s="56"/>
      <c r="R27" s="50">
        <f t="shared" si="4"/>
        <v>0</v>
      </c>
    </row>
    <row r="28" spans="1:18" ht="18.75" customHeight="1" x14ac:dyDescent="0.25">
      <c r="A28" s="202"/>
      <c r="B28" s="204"/>
      <c r="C28" s="206"/>
      <c r="D28" s="209"/>
      <c r="E28" s="15" t="s">
        <v>289</v>
      </c>
      <c r="F28" s="131">
        <v>4272511597</v>
      </c>
      <c r="G28" s="61">
        <f>+F28</f>
        <v>4272511597</v>
      </c>
      <c r="H28" s="43"/>
      <c r="I28" s="43"/>
      <c r="J28" s="43"/>
      <c r="K28" s="43"/>
      <c r="L28" s="43"/>
      <c r="M28" s="43"/>
      <c r="N28" s="43"/>
      <c r="O28" s="138"/>
      <c r="P28" s="153"/>
      <c r="Q28" s="65"/>
      <c r="R28" s="50">
        <f t="shared" si="4"/>
        <v>4272511597</v>
      </c>
    </row>
    <row r="29" spans="1:18" ht="18.75" customHeight="1" x14ac:dyDescent="0.25">
      <c r="A29" s="216"/>
      <c r="B29" s="217"/>
      <c r="C29" s="207"/>
      <c r="D29" s="210"/>
      <c r="E29" s="17" t="s">
        <v>28</v>
      </c>
      <c r="F29" s="129">
        <f>SUM(F23:F28)</f>
        <v>12341446473</v>
      </c>
      <c r="G29" s="63">
        <f>+G24+G28</f>
        <v>4272511597</v>
      </c>
      <c r="H29" s="23">
        <f>+H23+H25</f>
        <v>957852168</v>
      </c>
      <c r="I29" s="23">
        <f t="shared" ref="I29:Q29" si="5">+I23+I25</f>
        <v>1029067275</v>
      </c>
      <c r="J29" s="23">
        <f t="shared" si="5"/>
        <v>1405751771</v>
      </c>
      <c r="K29" s="23">
        <f t="shared" si="5"/>
        <v>1276590867</v>
      </c>
      <c r="L29" s="23">
        <f t="shared" si="5"/>
        <v>1037396276</v>
      </c>
      <c r="M29" s="23">
        <f t="shared" si="5"/>
        <v>1201504648</v>
      </c>
      <c r="N29" s="23">
        <f t="shared" si="5"/>
        <v>1060771871</v>
      </c>
      <c r="O29" s="23">
        <f>+O23+O25</f>
        <v>100000000</v>
      </c>
      <c r="P29" s="23">
        <f>+P23+P25</f>
        <v>0</v>
      </c>
      <c r="Q29" s="23">
        <f t="shared" si="5"/>
        <v>0</v>
      </c>
      <c r="R29" s="50">
        <f t="shared" si="4"/>
        <v>12341446473</v>
      </c>
    </row>
    <row r="30" spans="1:18" ht="24" customHeight="1" x14ac:dyDescent="0.25">
      <c r="A30" s="201" t="s">
        <v>94</v>
      </c>
      <c r="B30" s="203">
        <f>+D30+D34+D36+D44</f>
        <v>32643450341</v>
      </c>
      <c r="C30" s="205" t="s">
        <v>97</v>
      </c>
      <c r="D30" s="208">
        <f>+F33</f>
        <v>9475000000</v>
      </c>
      <c r="E30" s="15" t="s">
        <v>21</v>
      </c>
      <c r="F30" s="131">
        <v>5546000000</v>
      </c>
      <c r="G30" s="56"/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39">
        <v>5546000000</v>
      </c>
      <c r="P30" s="152">
        <v>0</v>
      </c>
      <c r="Q30" s="64">
        <v>0</v>
      </c>
      <c r="R30" s="50">
        <f t="shared" si="4"/>
        <v>5546000000</v>
      </c>
    </row>
    <row r="31" spans="1:18" ht="18.75" customHeight="1" x14ac:dyDescent="0.25">
      <c r="A31" s="202"/>
      <c r="B31" s="204"/>
      <c r="C31" s="206"/>
      <c r="D31" s="209"/>
      <c r="E31" s="15" t="s">
        <v>44</v>
      </c>
      <c r="F31" s="131">
        <v>237000000</v>
      </c>
      <c r="G31" s="56"/>
      <c r="H31" s="20">
        <v>52999913</v>
      </c>
      <c r="I31" s="20">
        <v>0</v>
      </c>
      <c r="J31" s="20"/>
      <c r="K31" s="20">
        <v>62000043</v>
      </c>
      <c r="L31" s="20">
        <v>0</v>
      </c>
      <c r="M31" s="20">
        <v>60000000</v>
      </c>
      <c r="N31" s="20">
        <v>62000044</v>
      </c>
      <c r="O31" s="20">
        <v>0</v>
      </c>
      <c r="P31" s="152">
        <v>0</v>
      </c>
      <c r="Q31" s="64">
        <v>0</v>
      </c>
      <c r="R31" s="50">
        <f t="shared" si="4"/>
        <v>237000000</v>
      </c>
    </row>
    <row r="32" spans="1:18" ht="18.75" customHeight="1" x14ac:dyDescent="0.25">
      <c r="A32" s="202"/>
      <c r="B32" s="204"/>
      <c r="C32" s="206"/>
      <c r="D32" s="209"/>
      <c r="E32" s="15" t="s">
        <v>22</v>
      </c>
      <c r="F32" s="131">
        <v>3692000000</v>
      </c>
      <c r="G32" s="56"/>
      <c r="H32" s="20">
        <f>117640000-117640000</f>
        <v>0</v>
      </c>
      <c r="I32" s="20">
        <f>69500000-69500000</f>
        <v>0</v>
      </c>
      <c r="J32" s="20">
        <f>127500000-127500000</f>
        <v>0</v>
      </c>
      <c r="K32" s="20">
        <f>58000000-58000000</f>
        <v>0</v>
      </c>
      <c r="L32" s="20">
        <f>188000000-188000000</f>
        <v>0</v>
      </c>
      <c r="M32" s="20">
        <f>98000000-98000000</f>
        <v>0</v>
      </c>
      <c r="N32" s="20">
        <f>55000000-55000000</f>
        <v>0</v>
      </c>
      <c r="O32" s="20">
        <f>2978360000+713640000</f>
        <v>3692000000</v>
      </c>
      <c r="P32" s="152">
        <v>0</v>
      </c>
      <c r="Q32" s="64">
        <v>0</v>
      </c>
      <c r="R32" s="50">
        <f t="shared" si="4"/>
        <v>3692000000</v>
      </c>
    </row>
    <row r="33" spans="1:19" ht="18.75" customHeight="1" x14ac:dyDescent="0.25">
      <c r="A33" s="202"/>
      <c r="B33" s="204"/>
      <c r="C33" s="207"/>
      <c r="D33" s="210"/>
      <c r="E33" s="17" t="s">
        <v>29</v>
      </c>
      <c r="F33" s="129">
        <f>+F30+F31+F32</f>
        <v>9475000000</v>
      </c>
      <c r="G33" s="56"/>
      <c r="H33" s="18">
        <f>SUM(H30:H32)</f>
        <v>52999913</v>
      </c>
      <c r="I33" s="18">
        <f t="shared" ref="I33:Q33" si="6">SUM(I30:I32)</f>
        <v>0</v>
      </c>
      <c r="J33" s="18">
        <f t="shared" si="6"/>
        <v>0</v>
      </c>
      <c r="K33" s="18">
        <f t="shared" si="6"/>
        <v>62000043</v>
      </c>
      <c r="L33" s="18">
        <f t="shared" si="6"/>
        <v>0</v>
      </c>
      <c r="M33" s="18">
        <f t="shared" si="6"/>
        <v>60000000</v>
      </c>
      <c r="N33" s="18">
        <f t="shared" si="6"/>
        <v>62000044</v>
      </c>
      <c r="O33" s="18">
        <f t="shared" si="6"/>
        <v>9238000000</v>
      </c>
      <c r="P33" s="18">
        <f t="shared" si="6"/>
        <v>0</v>
      </c>
      <c r="Q33" s="18">
        <f t="shared" si="6"/>
        <v>0</v>
      </c>
      <c r="R33" s="50">
        <f t="shared" si="4"/>
        <v>9475000000</v>
      </c>
    </row>
    <row r="34" spans="1:19" s="247" customFormat="1" ht="18.75" customHeight="1" x14ac:dyDescent="0.25">
      <c r="A34" s="202"/>
      <c r="B34" s="204"/>
      <c r="C34" s="205" t="s">
        <v>4</v>
      </c>
      <c r="D34" s="208">
        <f>+F35</f>
        <v>5925000000</v>
      </c>
      <c r="E34" s="24" t="s">
        <v>23</v>
      </c>
      <c r="F34" s="131">
        <v>5925000000</v>
      </c>
      <c r="G34" s="61">
        <f>+F34</f>
        <v>5925000000</v>
      </c>
      <c r="H34" s="43"/>
      <c r="I34" s="43"/>
      <c r="J34" s="43"/>
      <c r="K34" s="43"/>
      <c r="L34" s="43"/>
      <c r="M34" s="43"/>
      <c r="N34" s="43"/>
      <c r="O34" s="138"/>
      <c r="P34" s="153"/>
      <c r="Q34" s="65"/>
      <c r="R34" s="50">
        <f t="shared" si="4"/>
        <v>5925000000</v>
      </c>
      <c r="S34" s="246"/>
    </row>
    <row r="35" spans="1:19" s="247" customFormat="1" ht="18.75" customHeight="1" x14ac:dyDescent="0.25">
      <c r="A35" s="202"/>
      <c r="B35" s="204"/>
      <c r="C35" s="207"/>
      <c r="D35" s="210"/>
      <c r="E35" s="25" t="s">
        <v>30</v>
      </c>
      <c r="F35" s="129">
        <f>SUM(F34:F34)</f>
        <v>5925000000</v>
      </c>
      <c r="G35" s="63">
        <f>+G34</f>
        <v>5925000000</v>
      </c>
      <c r="H35" s="43"/>
      <c r="I35" s="43"/>
      <c r="J35" s="43"/>
      <c r="K35" s="43"/>
      <c r="L35" s="43"/>
      <c r="M35" s="43"/>
      <c r="N35" s="43"/>
      <c r="O35" s="138"/>
      <c r="P35" s="153"/>
      <c r="Q35" s="65"/>
      <c r="R35" s="50">
        <f t="shared" si="4"/>
        <v>5925000000</v>
      </c>
      <c r="S35" s="246"/>
    </row>
    <row r="36" spans="1:19" ht="24" x14ac:dyDescent="0.25">
      <c r="A36" s="202"/>
      <c r="B36" s="204"/>
      <c r="C36" s="205" t="s">
        <v>16</v>
      </c>
      <c r="D36" s="208">
        <f>+F43</f>
        <v>8498563211</v>
      </c>
      <c r="E36" s="19" t="s">
        <v>14</v>
      </c>
      <c r="F36" s="130">
        <f>SUM(F37:F38)</f>
        <v>3379308101</v>
      </c>
      <c r="G36" s="56"/>
      <c r="H36" s="26">
        <v>1051203707</v>
      </c>
      <c r="I36" s="140">
        <v>861223937</v>
      </c>
      <c r="J36" s="140">
        <v>300000000</v>
      </c>
      <c r="K36" s="26">
        <v>300000000</v>
      </c>
      <c r="L36" s="26">
        <v>206880957</v>
      </c>
      <c r="M36" s="26">
        <v>524999500</v>
      </c>
      <c r="N36" s="140">
        <f>100000000+35000000</f>
        <v>135000000</v>
      </c>
      <c r="O36" s="26">
        <v>0</v>
      </c>
      <c r="P36" s="155">
        <v>0</v>
      </c>
      <c r="Q36" s="66">
        <v>0</v>
      </c>
      <c r="R36" s="50">
        <f t="shared" si="4"/>
        <v>3379308101</v>
      </c>
    </row>
    <row r="37" spans="1:19" ht="18.75" customHeight="1" x14ac:dyDescent="0.25">
      <c r="A37" s="202"/>
      <c r="B37" s="204"/>
      <c r="C37" s="206"/>
      <c r="D37" s="209"/>
      <c r="E37" s="21" t="s">
        <v>39</v>
      </c>
      <c r="F37" s="131">
        <f>527088917+35000000</f>
        <v>562088917</v>
      </c>
      <c r="G37" s="56"/>
      <c r="H37" s="48"/>
      <c r="I37" s="48"/>
      <c r="J37" s="48"/>
      <c r="K37" s="48"/>
      <c r="L37" s="48"/>
      <c r="M37" s="48"/>
      <c r="N37" s="48"/>
      <c r="O37" s="141"/>
      <c r="P37" s="156"/>
      <c r="Q37" s="67"/>
      <c r="R37" s="52"/>
    </row>
    <row r="38" spans="1:19" ht="18.75" customHeight="1" x14ac:dyDescent="0.25">
      <c r="A38" s="202"/>
      <c r="B38" s="204"/>
      <c r="C38" s="206"/>
      <c r="D38" s="209"/>
      <c r="E38" s="21" t="s">
        <v>9</v>
      </c>
      <c r="F38" s="131">
        <f>2662983083+154236101</f>
        <v>2817219184</v>
      </c>
      <c r="G38" s="56"/>
      <c r="H38" s="48"/>
      <c r="I38" s="48"/>
      <c r="J38" s="48"/>
      <c r="K38" s="48"/>
      <c r="L38" s="48"/>
      <c r="M38" s="48"/>
      <c r="N38" s="48"/>
      <c r="O38" s="141"/>
      <c r="P38" s="156"/>
      <c r="Q38" s="67"/>
      <c r="R38" s="52"/>
    </row>
    <row r="39" spans="1:19" ht="18.75" customHeight="1" x14ac:dyDescent="0.25">
      <c r="A39" s="202"/>
      <c r="B39" s="204"/>
      <c r="C39" s="206"/>
      <c r="D39" s="209"/>
      <c r="E39" s="15" t="s">
        <v>15</v>
      </c>
      <c r="F39" s="130">
        <f>SUM(F40:F41)</f>
        <v>1674846033</v>
      </c>
      <c r="G39" s="56"/>
      <c r="H39" s="26">
        <v>329902571</v>
      </c>
      <c r="I39" s="26">
        <v>299570000</v>
      </c>
      <c r="J39" s="26">
        <v>0</v>
      </c>
      <c r="K39" s="140">
        <v>466237000</v>
      </c>
      <c r="L39" s="140">
        <v>354136462</v>
      </c>
      <c r="M39" s="26">
        <v>225000000</v>
      </c>
      <c r="N39" s="26">
        <v>0</v>
      </c>
      <c r="O39" s="26">
        <v>0</v>
      </c>
      <c r="P39" s="155">
        <v>0</v>
      </c>
      <c r="Q39" s="66">
        <v>0</v>
      </c>
      <c r="R39" s="50">
        <f>SUM(G39:Q39)</f>
        <v>1674846033</v>
      </c>
    </row>
    <row r="40" spans="1:19" ht="18.75" customHeight="1" x14ac:dyDescent="0.25">
      <c r="A40" s="202"/>
      <c r="B40" s="204"/>
      <c r="C40" s="206"/>
      <c r="D40" s="209"/>
      <c r="E40" s="21" t="s">
        <v>7</v>
      </c>
      <c r="F40" s="131">
        <v>864148154</v>
      </c>
      <c r="G40" s="56"/>
      <c r="H40" s="48"/>
      <c r="I40" s="48"/>
      <c r="J40" s="48"/>
      <c r="K40" s="48"/>
      <c r="L40" s="48"/>
      <c r="M40" s="48"/>
      <c r="N40" s="48"/>
      <c r="O40" s="141"/>
      <c r="P40" s="156"/>
      <c r="Q40" s="67"/>
      <c r="R40" s="52"/>
    </row>
    <row r="41" spans="1:19" ht="18.75" customHeight="1" x14ac:dyDescent="0.25">
      <c r="A41" s="202"/>
      <c r="B41" s="204"/>
      <c r="C41" s="206"/>
      <c r="D41" s="209"/>
      <c r="E41" s="21" t="s">
        <v>8</v>
      </c>
      <c r="F41" s="131">
        <f>939853095-129155216</f>
        <v>810697879</v>
      </c>
      <c r="G41" s="56"/>
      <c r="H41" s="48"/>
      <c r="I41" s="48"/>
      <c r="J41" s="48"/>
      <c r="K41" s="48"/>
      <c r="L41" s="48"/>
      <c r="M41" s="48"/>
      <c r="N41" s="48"/>
      <c r="O41" s="141"/>
      <c r="P41" s="156"/>
      <c r="Q41" s="67"/>
      <c r="R41" s="52"/>
    </row>
    <row r="42" spans="1:19" ht="18.75" customHeight="1" x14ac:dyDescent="0.25">
      <c r="A42" s="202"/>
      <c r="B42" s="204"/>
      <c r="C42" s="206"/>
      <c r="D42" s="209"/>
      <c r="E42" s="15" t="s">
        <v>47</v>
      </c>
      <c r="F42" s="130">
        <v>3444409077</v>
      </c>
      <c r="G42" s="56"/>
      <c r="H42" s="140">
        <v>0</v>
      </c>
      <c r="I42" s="140">
        <v>0</v>
      </c>
      <c r="J42" s="140">
        <v>124440908</v>
      </c>
      <c r="K42" s="140">
        <v>205968167</v>
      </c>
      <c r="L42" s="140">
        <v>0</v>
      </c>
      <c r="M42" s="140">
        <v>0</v>
      </c>
      <c r="N42" s="140">
        <v>0</v>
      </c>
      <c r="O42" s="140">
        <v>3114000002</v>
      </c>
      <c r="P42" s="155">
        <v>0</v>
      </c>
      <c r="Q42" s="26">
        <v>0</v>
      </c>
      <c r="R42" s="50">
        <f t="shared" ref="R42:R52" si="7">SUM(G42:Q42)</f>
        <v>3444409077</v>
      </c>
    </row>
    <row r="43" spans="1:19" s="9" customFormat="1" ht="18.75" customHeight="1" x14ac:dyDescent="0.25">
      <c r="A43" s="202"/>
      <c r="B43" s="204"/>
      <c r="C43" s="207"/>
      <c r="D43" s="210"/>
      <c r="E43" s="17" t="s">
        <v>31</v>
      </c>
      <c r="F43" s="129">
        <f>F39+F36+F42</f>
        <v>8498563211</v>
      </c>
      <c r="G43" s="56">
        <f>SUM(G36:G41)</f>
        <v>0</v>
      </c>
      <c r="H43" s="18">
        <f>SUM(H36:H42)</f>
        <v>1381106278</v>
      </c>
      <c r="I43" s="18">
        <f t="shared" ref="I43:O43" si="8">SUM(I36:I42)</f>
        <v>1160793937</v>
      </c>
      <c r="J43" s="18">
        <f t="shared" si="8"/>
        <v>424440908</v>
      </c>
      <c r="K43" s="18">
        <f t="shared" si="8"/>
        <v>972205167</v>
      </c>
      <c r="L43" s="18">
        <f t="shared" si="8"/>
        <v>561017419</v>
      </c>
      <c r="M43" s="18">
        <f t="shared" si="8"/>
        <v>749999500</v>
      </c>
      <c r="N43" s="18">
        <f t="shared" si="8"/>
        <v>135000000</v>
      </c>
      <c r="O43" s="18">
        <f t="shared" si="8"/>
        <v>3114000002</v>
      </c>
      <c r="P43" s="148">
        <f t="shared" ref="P43:Q43" si="9">SUM(P36:P42)</f>
        <v>0</v>
      </c>
      <c r="Q43" s="57">
        <f t="shared" si="9"/>
        <v>0</v>
      </c>
      <c r="R43" s="50">
        <f t="shared" si="7"/>
        <v>8498563211</v>
      </c>
    </row>
    <row r="44" spans="1:19" s="9" customFormat="1" ht="18.75" customHeight="1" x14ac:dyDescent="0.25">
      <c r="A44" s="202"/>
      <c r="B44" s="204"/>
      <c r="C44" s="205" t="s">
        <v>45</v>
      </c>
      <c r="D44" s="208">
        <f>+F45</f>
        <v>8744887130</v>
      </c>
      <c r="E44" s="15" t="s">
        <v>48</v>
      </c>
      <c r="F44" s="130">
        <v>8744887130</v>
      </c>
      <c r="G44" s="68">
        <f>+F44</f>
        <v>8744887130</v>
      </c>
      <c r="H44" s="43"/>
      <c r="I44" s="43"/>
      <c r="J44" s="43"/>
      <c r="K44" s="43"/>
      <c r="L44" s="43"/>
      <c r="M44" s="43"/>
      <c r="N44" s="43"/>
      <c r="O44" s="138"/>
      <c r="P44" s="153"/>
      <c r="Q44" s="65"/>
      <c r="R44" s="50">
        <f t="shared" si="7"/>
        <v>8744887130</v>
      </c>
    </row>
    <row r="45" spans="1:19" s="9" customFormat="1" ht="18.75" customHeight="1" x14ac:dyDescent="0.25">
      <c r="A45" s="216"/>
      <c r="B45" s="217"/>
      <c r="C45" s="207"/>
      <c r="D45" s="210"/>
      <c r="E45" s="17" t="s">
        <v>49</v>
      </c>
      <c r="F45" s="129">
        <f>+F44</f>
        <v>8744887130</v>
      </c>
      <c r="G45" s="63">
        <f>+G44</f>
        <v>8744887130</v>
      </c>
      <c r="H45" s="43"/>
      <c r="I45" s="43"/>
      <c r="J45" s="43"/>
      <c r="K45" s="43"/>
      <c r="L45" s="43"/>
      <c r="M45" s="43"/>
      <c r="N45" s="43"/>
      <c r="O45" s="138"/>
      <c r="P45" s="153"/>
      <c r="Q45" s="65"/>
      <c r="R45" s="50">
        <f t="shared" si="7"/>
        <v>8744887130</v>
      </c>
    </row>
    <row r="46" spans="1:19" s="9" customFormat="1" ht="18.75" customHeight="1" x14ac:dyDescent="0.25">
      <c r="A46" s="201" t="s">
        <v>95</v>
      </c>
      <c r="B46" s="203">
        <f>+D46+D51</f>
        <v>25629030188</v>
      </c>
      <c r="C46" s="205" t="s">
        <v>50</v>
      </c>
      <c r="D46" s="208">
        <f>+F50</f>
        <v>23809030188</v>
      </c>
      <c r="E46" s="15" t="s">
        <v>51</v>
      </c>
      <c r="F46" s="131">
        <f>5203385292-296383924</f>
        <v>4907001368</v>
      </c>
      <c r="G46" s="56"/>
      <c r="H46" s="20">
        <f>472440946-341071151</f>
        <v>131369795</v>
      </c>
      <c r="I46" s="20">
        <f>719112160+16636094</f>
        <v>735748254</v>
      </c>
      <c r="J46" s="20">
        <v>778703663</v>
      </c>
      <c r="K46" s="20">
        <v>0</v>
      </c>
      <c r="L46" s="20">
        <f>1024327621+25468458</f>
        <v>1049796079</v>
      </c>
      <c r="M46" s="20">
        <v>944143577</v>
      </c>
      <c r="N46" s="20">
        <f>764657325+2582675</f>
        <v>767240000</v>
      </c>
      <c r="O46" s="20">
        <v>500000000</v>
      </c>
      <c r="P46" s="155">
        <v>0</v>
      </c>
      <c r="Q46" s="66">
        <v>0</v>
      </c>
      <c r="R46" s="50">
        <f t="shared" si="7"/>
        <v>4907001368</v>
      </c>
    </row>
    <row r="47" spans="1:19" s="9" customFormat="1" ht="18.75" customHeight="1" x14ac:dyDescent="0.25">
      <c r="A47" s="202"/>
      <c r="B47" s="204"/>
      <c r="C47" s="206"/>
      <c r="D47" s="209"/>
      <c r="E47" s="15" t="s">
        <v>52</v>
      </c>
      <c r="F47" s="131">
        <f>10244885596</f>
        <v>10244885596</v>
      </c>
      <c r="G47" s="56"/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f>10244885596</f>
        <v>10244885596</v>
      </c>
      <c r="P47" s="152">
        <v>0</v>
      </c>
      <c r="Q47" s="64">
        <v>0</v>
      </c>
      <c r="R47" s="50">
        <f t="shared" si="7"/>
        <v>10244885596</v>
      </c>
    </row>
    <row r="48" spans="1:19" s="9" customFormat="1" ht="18.75" customHeight="1" x14ac:dyDescent="0.25">
      <c r="A48" s="202"/>
      <c r="B48" s="204"/>
      <c r="C48" s="206"/>
      <c r="D48" s="209"/>
      <c r="E48" s="15" t="s">
        <v>53</v>
      </c>
      <c r="F48" s="131">
        <f>3538495496+296383924</f>
        <v>3834879420</v>
      </c>
      <c r="G48" s="56"/>
      <c r="H48" s="20">
        <v>175000000</v>
      </c>
      <c r="I48" s="20">
        <f>1268253445+158188854</f>
        <v>1426442299</v>
      </c>
      <c r="J48" s="20">
        <f>457059197+101813924</f>
        <v>558873121</v>
      </c>
      <c r="K48" s="20">
        <f>80000000+94570000</f>
        <v>174570000</v>
      </c>
      <c r="L48" s="20">
        <f>781320000-81326000+100000000</f>
        <v>799994000</v>
      </c>
      <c r="M48" s="20">
        <f>776862854-76862854</f>
        <v>700000000</v>
      </c>
      <c r="N48" s="20">
        <v>0</v>
      </c>
      <c r="O48" s="20">
        <v>0</v>
      </c>
      <c r="P48" s="152">
        <v>0</v>
      </c>
      <c r="Q48" s="64">
        <v>0</v>
      </c>
      <c r="R48" s="50">
        <f t="shared" si="7"/>
        <v>3834879420</v>
      </c>
    </row>
    <row r="49" spans="1:18" s="9" customFormat="1" ht="18.75" customHeight="1" x14ac:dyDescent="0.25">
      <c r="A49" s="202"/>
      <c r="B49" s="204"/>
      <c r="C49" s="206"/>
      <c r="D49" s="209"/>
      <c r="E49" s="15" t="s">
        <v>54</v>
      </c>
      <c r="F49" s="131">
        <f>4322263804+500000000</f>
        <v>4822263804</v>
      </c>
      <c r="G49" s="56"/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149">
        <f>4822263804</f>
        <v>4822263804</v>
      </c>
      <c r="P49" s="152">
        <v>0</v>
      </c>
      <c r="Q49" s="66">
        <v>0</v>
      </c>
      <c r="R49" s="50">
        <f t="shared" si="7"/>
        <v>4822263804</v>
      </c>
    </row>
    <row r="50" spans="1:18" s="9" customFormat="1" ht="18.75" customHeight="1" x14ac:dyDescent="0.25">
      <c r="A50" s="202"/>
      <c r="B50" s="204"/>
      <c r="C50" s="207"/>
      <c r="D50" s="210"/>
      <c r="E50" s="17" t="s">
        <v>55</v>
      </c>
      <c r="F50" s="130">
        <f>SUM(F46:F49)</f>
        <v>23809030188</v>
      </c>
      <c r="G50" s="56"/>
      <c r="H50" s="18">
        <f t="shared" ref="H50:Q50" si="10">SUM(H46:H49)</f>
        <v>306369795</v>
      </c>
      <c r="I50" s="18">
        <f t="shared" si="10"/>
        <v>2162190553</v>
      </c>
      <c r="J50" s="18">
        <f t="shared" si="10"/>
        <v>1337576784</v>
      </c>
      <c r="K50" s="18">
        <f t="shared" si="10"/>
        <v>174570000</v>
      </c>
      <c r="L50" s="18">
        <f t="shared" si="10"/>
        <v>1849790079</v>
      </c>
      <c r="M50" s="18">
        <f t="shared" si="10"/>
        <v>1644143577</v>
      </c>
      <c r="N50" s="18">
        <f t="shared" si="10"/>
        <v>767240000</v>
      </c>
      <c r="O50" s="18">
        <f t="shared" si="10"/>
        <v>15567149400</v>
      </c>
      <c r="P50" s="148">
        <f t="shared" si="10"/>
        <v>0</v>
      </c>
      <c r="Q50" s="18">
        <f t="shared" si="10"/>
        <v>0</v>
      </c>
      <c r="R50" s="50">
        <f>SUM(G50:Q50)</f>
        <v>23809030188</v>
      </c>
    </row>
    <row r="51" spans="1:18" s="9" customFormat="1" ht="18.75" customHeight="1" x14ac:dyDescent="0.25">
      <c r="A51" s="202"/>
      <c r="B51" s="204"/>
      <c r="C51" s="205" t="s">
        <v>56</v>
      </c>
      <c r="D51" s="208">
        <f>+F52</f>
        <v>1820000000</v>
      </c>
      <c r="E51" s="24" t="s">
        <v>57</v>
      </c>
      <c r="F51" s="131">
        <f>11300000000-1420000000-8060000000</f>
        <v>1820000000</v>
      </c>
      <c r="G51" s="61">
        <f>+F51</f>
        <v>1820000000</v>
      </c>
      <c r="H51" s="43"/>
      <c r="I51" s="43"/>
      <c r="J51" s="43"/>
      <c r="K51" s="43"/>
      <c r="L51" s="43"/>
      <c r="M51" s="43"/>
      <c r="N51" s="43"/>
      <c r="O51" s="43"/>
      <c r="P51" s="153"/>
      <c r="Q51" s="65"/>
      <c r="R51" s="50">
        <f t="shared" si="7"/>
        <v>1820000000</v>
      </c>
    </row>
    <row r="52" spans="1:18" ht="18.75" customHeight="1" thickBot="1" x14ac:dyDescent="0.3">
      <c r="A52" s="202"/>
      <c r="B52" s="204"/>
      <c r="C52" s="211"/>
      <c r="D52" s="209"/>
      <c r="E52" s="69" t="s">
        <v>58</v>
      </c>
      <c r="F52" s="134">
        <f>+F51</f>
        <v>1820000000</v>
      </c>
      <c r="G52" s="70">
        <f>+G51</f>
        <v>1820000000</v>
      </c>
      <c r="H52" s="71"/>
      <c r="I52" s="71"/>
      <c r="J52" s="71"/>
      <c r="K52" s="71"/>
      <c r="L52" s="71"/>
      <c r="M52" s="71"/>
      <c r="N52" s="71"/>
      <c r="O52" s="71"/>
      <c r="P52" s="157"/>
      <c r="Q52" s="72"/>
      <c r="R52" s="73">
        <f t="shared" si="7"/>
        <v>1820000000</v>
      </c>
    </row>
    <row r="53" spans="1:18" ht="18.75" customHeight="1" thickBot="1" x14ac:dyDescent="0.3">
      <c r="A53" s="248" t="s">
        <v>61</v>
      </c>
      <c r="B53" s="249"/>
      <c r="C53" s="249"/>
      <c r="D53" s="249"/>
      <c r="E53" s="250"/>
      <c r="F53" s="251">
        <f>+F11+F19+F22+F29+F33+F35+F43+F45+F50+F52</f>
        <v>127322000000</v>
      </c>
      <c r="G53" s="252">
        <f>+G22+G29+G35+G45+G52</f>
        <v>43363151597</v>
      </c>
      <c r="H53" s="253">
        <f t="shared" ref="H53:Q53" si="11">+H11+H19+H29+H33+H43+H50</f>
        <v>10296820827</v>
      </c>
      <c r="I53" s="253">
        <f t="shared" si="11"/>
        <v>8310245859</v>
      </c>
      <c r="J53" s="253">
        <f t="shared" si="11"/>
        <v>6918926929</v>
      </c>
      <c r="K53" s="253">
        <f t="shared" si="11"/>
        <v>5770243646</v>
      </c>
      <c r="L53" s="253">
        <f t="shared" si="11"/>
        <v>8160024543</v>
      </c>
      <c r="M53" s="253">
        <f t="shared" si="11"/>
        <v>9351632261</v>
      </c>
      <c r="N53" s="253">
        <f t="shared" si="11"/>
        <v>6640688408</v>
      </c>
      <c r="O53" s="253">
        <f t="shared" si="11"/>
        <v>28510265930</v>
      </c>
      <c r="P53" s="253">
        <f t="shared" si="11"/>
        <v>0</v>
      </c>
      <c r="Q53" s="253">
        <f t="shared" si="11"/>
        <v>0</v>
      </c>
      <c r="R53" s="254">
        <f>SUM(G53:Q53)</f>
        <v>127322000000</v>
      </c>
    </row>
    <row r="54" spans="1:18" ht="18.75" customHeight="1" x14ac:dyDescent="0.25">
      <c r="A54" s="255" t="s">
        <v>284</v>
      </c>
      <c r="B54" s="255"/>
      <c r="C54" s="255"/>
      <c r="D54" s="255"/>
      <c r="E54" s="255"/>
    </row>
    <row r="55" spans="1:18" ht="12" x14ac:dyDescent="0.25"/>
    <row r="56" spans="1:18" ht="15" thickBot="1" x14ac:dyDescent="0.35">
      <c r="A56" s="263" t="s">
        <v>290</v>
      </c>
      <c r="B56" s="263"/>
      <c r="C56" s="263"/>
    </row>
    <row r="57" spans="1:18" ht="12" customHeight="1" thickBot="1" x14ac:dyDescent="0.3">
      <c r="A57" s="195" t="s">
        <v>10</v>
      </c>
      <c r="B57" s="197" t="s">
        <v>293</v>
      </c>
      <c r="C57" s="199" t="s">
        <v>320</v>
      </c>
      <c r="D57" s="200"/>
      <c r="E57" s="158"/>
      <c r="F57" s="159"/>
      <c r="G57" s="159"/>
      <c r="H57" s="160"/>
      <c r="I57" s="160"/>
      <c r="J57" s="161"/>
    </row>
    <row r="58" spans="1:18" ht="101.4" thickBot="1" x14ac:dyDescent="0.3">
      <c r="A58" s="196"/>
      <c r="B58" s="198"/>
      <c r="C58" s="40" t="s">
        <v>312</v>
      </c>
      <c r="D58" s="40" t="s">
        <v>313</v>
      </c>
      <c r="E58" s="40" t="s">
        <v>314</v>
      </c>
      <c r="F58" s="40" t="s">
        <v>315</v>
      </c>
      <c r="G58" s="40" t="s">
        <v>316</v>
      </c>
      <c r="H58" s="40" t="s">
        <v>317</v>
      </c>
      <c r="I58" s="40" t="s">
        <v>318</v>
      </c>
      <c r="J58" s="142" t="s">
        <v>98</v>
      </c>
    </row>
    <row r="59" spans="1:18" ht="36" x14ac:dyDescent="0.25">
      <c r="A59" s="162" t="s">
        <v>19</v>
      </c>
      <c r="B59" s="163">
        <f>SUM(C59:J59)</f>
        <v>1112999993</v>
      </c>
      <c r="C59" s="163">
        <v>0</v>
      </c>
      <c r="D59" s="163">
        <v>0</v>
      </c>
      <c r="E59" s="163">
        <v>300000000</v>
      </c>
      <c r="F59" s="163">
        <f>700000000-200000000</f>
        <v>500000000</v>
      </c>
      <c r="G59" s="163">
        <v>0</v>
      </c>
      <c r="H59" s="163">
        <v>0</v>
      </c>
      <c r="I59" s="163">
        <f>312999993</f>
        <v>312999993</v>
      </c>
      <c r="J59" s="164">
        <v>0</v>
      </c>
    </row>
    <row r="60" spans="1:18" ht="48" x14ac:dyDescent="0.25">
      <c r="A60" s="117" t="s">
        <v>287</v>
      </c>
      <c r="B60" s="165">
        <v>0</v>
      </c>
      <c r="C60" s="165">
        <v>0</v>
      </c>
      <c r="D60" s="165">
        <v>0</v>
      </c>
      <c r="E60" s="165">
        <v>0</v>
      </c>
      <c r="F60" s="165">
        <v>0</v>
      </c>
      <c r="G60" s="165">
        <v>0</v>
      </c>
      <c r="H60" s="165">
        <v>0</v>
      </c>
      <c r="I60" s="165">
        <v>0</v>
      </c>
      <c r="J60" s="112">
        <v>0</v>
      </c>
    </row>
    <row r="61" spans="1:18" ht="18.75" customHeight="1" x14ac:dyDescent="0.25">
      <c r="A61" s="166" t="s">
        <v>61</v>
      </c>
      <c r="B61" s="165">
        <f>SUM(B59:B60)</f>
        <v>1112999993</v>
      </c>
      <c r="C61" s="165">
        <f t="shared" ref="C61:J61" si="12">SUM(C59:C60)</f>
        <v>0</v>
      </c>
      <c r="D61" s="165">
        <f t="shared" si="12"/>
        <v>0</v>
      </c>
      <c r="E61" s="165">
        <f t="shared" si="12"/>
        <v>300000000</v>
      </c>
      <c r="F61" s="165">
        <f t="shared" si="12"/>
        <v>500000000</v>
      </c>
      <c r="G61" s="165">
        <f t="shared" si="12"/>
        <v>0</v>
      </c>
      <c r="H61" s="165">
        <f t="shared" si="12"/>
        <v>0</v>
      </c>
      <c r="I61" s="165">
        <f t="shared" si="12"/>
        <v>312999993</v>
      </c>
      <c r="J61" s="112">
        <f t="shared" si="12"/>
        <v>0</v>
      </c>
    </row>
    <row r="62" spans="1:18" ht="18.75" customHeight="1" x14ac:dyDescent="0.25">
      <c r="A62" s="264" t="s">
        <v>310</v>
      </c>
      <c r="B62" s="264"/>
      <c r="C62" s="264"/>
    </row>
  </sheetData>
  <sheetProtection formatCells="0" formatColumns="0" formatRows="0" insertColumns="0" insertRows="0"/>
  <customSheetViews>
    <customSheetView guid="{CDDE5582-318E-4169-A2B3-E6801A91775C}" scale="90" showPageBreaks="1" fitToPage="1" printArea="1" hiddenColumns="1" topLeftCell="A28">
      <selection activeCell="E51" sqref="E51"/>
      <pageMargins left="0.70866141732283472" right="0.70866141732283472" top="0.74803149606299213" bottom="0.74803149606299213" header="0.31496062992125984" footer="0.31496062992125984"/>
      <pageSetup paperSize="8" scale="45" fitToHeight="6" orientation="landscape" r:id="rId1"/>
      <headerFooter>
        <oddHeader>&amp;F</oddHeader>
        <oddFooter>&amp;P. oldal</oddFooter>
      </headerFooter>
    </customSheetView>
    <customSheetView guid="{BA39A66F-2AC6-4033-9771-EB339C8851A1}" scale="90" showPageBreaks="1" fitToPage="1" printArea="1" hiddenColumns="1">
      <selection activeCell="I23" sqref="I23"/>
      <pageMargins left="0.70866141732283472" right="0.70866141732283472" top="0.74803149606299213" bottom="0.74803149606299213" header="0.31496062992125984" footer="0.31496062992125984"/>
      <pageSetup paperSize="8" scale="45" fitToHeight="6" orientation="landscape" r:id="rId2"/>
      <headerFooter>
        <oddHeader>&amp;F</oddHeader>
        <oddFooter>&amp;P. oldal</oddFooter>
      </headerFooter>
    </customSheetView>
  </customSheetViews>
  <mergeCells count="37">
    <mergeCell ref="A54:E54"/>
    <mergeCell ref="D34:D35"/>
    <mergeCell ref="B30:B45"/>
    <mergeCell ref="A30:A45"/>
    <mergeCell ref="D23:D29"/>
    <mergeCell ref="C23:C29"/>
    <mergeCell ref="B23:B29"/>
    <mergeCell ref="A23:A29"/>
    <mergeCell ref="C44:C45"/>
    <mergeCell ref="D44:D45"/>
    <mergeCell ref="C30:C33"/>
    <mergeCell ref="C34:C35"/>
    <mergeCell ref="C36:C43"/>
    <mergeCell ref="D36:D43"/>
    <mergeCell ref="D30:D33"/>
    <mergeCell ref="A53:E53"/>
    <mergeCell ref="A4:B4"/>
    <mergeCell ref="A8:B8"/>
    <mergeCell ref="C10:C11"/>
    <mergeCell ref="D10:D11"/>
    <mergeCell ref="C12:C19"/>
    <mergeCell ref="D12:D19"/>
    <mergeCell ref="A10:A22"/>
    <mergeCell ref="B10:B22"/>
    <mergeCell ref="C20:C22"/>
    <mergeCell ref="D20:D22"/>
    <mergeCell ref="A46:A52"/>
    <mergeCell ref="B46:B52"/>
    <mergeCell ref="C46:C50"/>
    <mergeCell ref="D46:D50"/>
    <mergeCell ref="C51:C52"/>
    <mergeCell ref="D51:D52"/>
    <mergeCell ref="A62:C62"/>
    <mergeCell ref="A56:C56"/>
    <mergeCell ref="A57:A58"/>
    <mergeCell ref="B57:B58"/>
    <mergeCell ref="C57:D57"/>
  </mergeCells>
  <conditionalFormatting sqref="F53">
    <cfRule type="cellIs" dxfId="4" priority="50" operator="equal">
      <formula>$J$6</formula>
    </cfRule>
  </conditionalFormatting>
  <conditionalFormatting sqref="R10:R11">
    <cfRule type="cellIs" dxfId="3" priority="3" operator="equal">
      <formula>$F$10</formula>
    </cfRule>
  </conditionalFormatting>
  <conditionalFormatting sqref="R10:R12 R16:R36 R39 R42:R52">
    <cfRule type="cellIs" dxfId="2" priority="49" operator="equal">
      <formula>F10</formula>
    </cfRule>
  </conditionalFormatting>
  <conditionalFormatting sqref="R53">
    <cfRule type="cellIs" dxfId="1" priority="1" operator="equal">
      <formula>$F$53</formula>
    </cfRule>
  </conditionalFormatting>
  <pageMargins left="0.70866141732283472" right="0.70866141732283472" top="0.74803149606299213" bottom="0.74803149606299213" header="0.31496062992125984" footer="0.31496062992125984"/>
  <pageSetup paperSize="8" scale="45" fitToHeight="6" orientation="landscape" r:id="rId3"/>
  <headerFooter>
    <oddHeader>&amp;F</oddHeader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workbookViewId="0">
      <selection activeCell="G27" sqref="G27"/>
    </sheetView>
  </sheetViews>
  <sheetFormatPr defaultRowHeight="14.4" x14ac:dyDescent="0.3"/>
  <cols>
    <col min="1" max="1" width="26.109375" customWidth="1"/>
    <col min="2" max="2" width="19.44140625" customWidth="1"/>
    <col min="3" max="3" width="18.33203125" customWidth="1"/>
    <col min="4" max="4" width="16.109375" customWidth="1"/>
    <col min="5" max="5" width="16.44140625" customWidth="1"/>
    <col min="6" max="8" width="16" customWidth="1"/>
    <col min="9" max="9" width="17.109375" customWidth="1"/>
    <col min="10" max="10" width="16" customWidth="1"/>
    <col min="11" max="11" width="18.6640625" customWidth="1"/>
    <col min="12" max="12" width="18" customWidth="1"/>
  </cols>
  <sheetData>
    <row r="1" spans="1:11" x14ac:dyDescent="0.3">
      <c r="A1" s="85" t="s">
        <v>74</v>
      </c>
      <c r="B1" s="85"/>
    </row>
    <row r="2" spans="1:11" ht="72" x14ac:dyDescent="0.3">
      <c r="A2" s="80" t="s">
        <v>63</v>
      </c>
      <c r="B2" s="79" t="s">
        <v>70</v>
      </c>
      <c r="C2" s="79" t="s">
        <v>69</v>
      </c>
      <c r="D2" s="79" t="s">
        <v>64</v>
      </c>
      <c r="E2" s="79" t="s">
        <v>289</v>
      </c>
      <c r="F2" s="79" t="s">
        <v>65</v>
      </c>
      <c r="G2" s="79" t="s">
        <v>71</v>
      </c>
      <c r="H2" s="79" t="s">
        <v>72</v>
      </c>
      <c r="I2" s="79" t="s">
        <v>66</v>
      </c>
      <c r="J2" s="79" t="s">
        <v>67</v>
      </c>
      <c r="K2" s="79" t="s">
        <v>68</v>
      </c>
    </row>
    <row r="3" spans="1:11" x14ac:dyDescent="0.3">
      <c r="A3" s="169" t="s">
        <v>321</v>
      </c>
      <c r="B3" s="170">
        <v>105000000</v>
      </c>
      <c r="C3" s="171">
        <v>22495752870</v>
      </c>
      <c r="D3" s="170">
        <v>4272511597</v>
      </c>
      <c r="E3" s="170">
        <v>0</v>
      </c>
      <c r="F3" s="170">
        <v>5925000000</v>
      </c>
      <c r="G3" s="170">
        <v>8744887130</v>
      </c>
      <c r="H3" s="171">
        <v>1820000000</v>
      </c>
      <c r="I3" s="170">
        <f>+B3+C3+D3+E3+G3+H3</f>
        <v>37438151597</v>
      </c>
      <c r="J3" s="170">
        <f>+F3</f>
        <v>5925000000</v>
      </c>
      <c r="K3" s="170">
        <f>+I3+J3</f>
        <v>43363151597</v>
      </c>
    </row>
    <row r="4" spans="1:11" x14ac:dyDescent="0.3">
      <c r="A4" s="81"/>
      <c r="B4" s="83"/>
      <c r="C4" s="83"/>
      <c r="D4" s="83"/>
      <c r="E4" s="83"/>
      <c r="F4" s="83"/>
      <c r="G4" s="83"/>
      <c r="H4" s="83"/>
      <c r="I4" s="83">
        <f>+B4+C4+D4+E4+G4+H4</f>
        <v>0</v>
      </c>
      <c r="J4" s="83">
        <f t="shared" ref="J4:J7" si="0">+F4</f>
        <v>0</v>
      </c>
      <c r="K4" s="83">
        <f t="shared" ref="K4:K6" si="1">+I4+J4</f>
        <v>0</v>
      </c>
    </row>
    <row r="5" spans="1:11" x14ac:dyDescent="0.3">
      <c r="A5" s="81"/>
      <c r="B5" s="83"/>
      <c r="C5" s="83"/>
      <c r="D5" s="83"/>
      <c r="E5" s="83"/>
      <c r="F5" s="83"/>
      <c r="G5" s="83"/>
      <c r="H5" s="83"/>
      <c r="I5" s="83">
        <f>+B5+C5+D5+E5+G5+H5</f>
        <v>0</v>
      </c>
      <c r="J5" s="83">
        <f t="shared" si="0"/>
        <v>0</v>
      </c>
      <c r="K5" s="83">
        <f t="shared" si="1"/>
        <v>0</v>
      </c>
    </row>
    <row r="6" spans="1:11" x14ac:dyDescent="0.3">
      <c r="A6" s="81"/>
      <c r="B6" s="83"/>
      <c r="C6" s="83"/>
      <c r="D6" s="83"/>
      <c r="E6" s="83"/>
      <c r="F6" s="83"/>
      <c r="G6" s="83"/>
      <c r="H6" s="83"/>
      <c r="I6" s="83">
        <f>+B6+C6+D6+E6+G6+H6</f>
        <v>0</v>
      </c>
      <c r="J6" s="83">
        <f t="shared" si="0"/>
        <v>0</v>
      </c>
      <c r="K6" s="83">
        <f t="shared" si="1"/>
        <v>0</v>
      </c>
    </row>
    <row r="7" spans="1:11" x14ac:dyDescent="0.3">
      <c r="A7" s="82" t="s">
        <v>61</v>
      </c>
      <c r="B7" s="84">
        <f>SUM(B3:B6)</f>
        <v>105000000</v>
      </c>
      <c r="C7" s="84">
        <f>SUM(C3:C6)</f>
        <v>22495752870</v>
      </c>
      <c r="D7" s="84">
        <f t="shared" ref="D7:F7" si="2">SUM(D3:D6)</f>
        <v>4272511597</v>
      </c>
      <c r="E7" s="84">
        <f t="shared" si="2"/>
        <v>0</v>
      </c>
      <c r="F7" s="84">
        <f t="shared" si="2"/>
        <v>5925000000</v>
      </c>
      <c r="G7" s="84">
        <f t="shared" ref="G7" si="3">SUM(G3:G6)</f>
        <v>8744887130</v>
      </c>
      <c r="H7" s="84">
        <f t="shared" ref="H7" si="4">SUM(H3:H6)</f>
        <v>1820000000</v>
      </c>
      <c r="I7" s="84">
        <f t="shared" ref="I7" si="5">SUM(I3:I6)</f>
        <v>37438151597</v>
      </c>
      <c r="J7" s="83">
        <f t="shared" si="0"/>
        <v>5925000000</v>
      </c>
      <c r="K7" s="84">
        <f>SUM(K3:K6)</f>
        <v>43363151597</v>
      </c>
    </row>
    <row r="9" spans="1:11" x14ac:dyDescent="0.3">
      <c r="A9" s="85" t="s">
        <v>73</v>
      </c>
    </row>
    <row r="10" spans="1:11" ht="72" x14ac:dyDescent="0.3">
      <c r="A10" s="80" t="s">
        <v>63</v>
      </c>
      <c r="B10" s="79" t="s">
        <v>70</v>
      </c>
      <c r="C10" s="79" t="s">
        <v>69</v>
      </c>
      <c r="D10" s="79" t="s">
        <v>64</v>
      </c>
      <c r="E10" s="79" t="s">
        <v>289</v>
      </c>
      <c r="F10" s="79" t="s">
        <v>65</v>
      </c>
      <c r="G10" s="79" t="s">
        <v>71</v>
      </c>
      <c r="H10" s="79" t="s">
        <v>72</v>
      </c>
      <c r="I10" s="79" t="s">
        <v>66</v>
      </c>
      <c r="J10" s="79" t="s">
        <v>67</v>
      </c>
      <c r="K10" s="79" t="s">
        <v>68</v>
      </c>
    </row>
    <row r="11" spans="1:11" x14ac:dyDescent="0.3">
      <c r="A11" s="81"/>
      <c r="B11" s="83"/>
      <c r="C11" s="83"/>
      <c r="D11" s="83"/>
      <c r="E11" s="83"/>
      <c r="F11" s="83"/>
      <c r="G11" s="83"/>
      <c r="H11" s="83"/>
      <c r="I11" s="83">
        <f>+B11+C11+D11+E11+G11+H11</f>
        <v>0</v>
      </c>
      <c r="J11" s="83">
        <f>+F11</f>
        <v>0</v>
      </c>
      <c r="K11" s="83">
        <f>+I11+J11</f>
        <v>0</v>
      </c>
    </row>
    <row r="12" spans="1:11" x14ac:dyDescent="0.3">
      <c r="A12" s="81"/>
      <c r="B12" s="83"/>
      <c r="C12" s="83"/>
      <c r="D12" s="83"/>
      <c r="E12" s="83"/>
      <c r="F12" s="83"/>
      <c r="G12" s="83"/>
      <c r="H12" s="83"/>
      <c r="I12" s="83">
        <f>+B12+C12+D12+E12+G12+H12</f>
        <v>0</v>
      </c>
      <c r="J12" s="83">
        <f t="shared" ref="J12:J15" si="6">+F12</f>
        <v>0</v>
      </c>
      <c r="K12" s="83">
        <f t="shared" ref="K12:K14" si="7">+I12+J12</f>
        <v>0</v>
      </c>
    </row>
    <row r="13" spans="1:11" x14ac:dyDescent="0.3">
      <c r="A13" s="81"/>
      <c r="B13" s="83"/>
      <c r="C13" s="83"/>
      <c r="D13" s="83"/>
      <c r="E13" s="83"/>
      <c r="F13" s="83"/>
      <c r="G13" s="83"/>
      <c r="H13" s="83"/>
      <c r="I13" s="83">
        <f>+B13+C13+D13+E13+G13+H13</f>
        <v>0</v>
      </c>
      <c r="J13" s="83">
        <f t="shared" si="6"/>
        <v>0</v>
      </c>
      <c r="K13" s="83">
        <f t="shared" si="7"/>
        <v>0</v>
      </c>
    </row>
    <row r="14" spans="1:11" x14ac:dyDescent="0.3">
      <c r="A14" s="81"/>
      <c r="B14" s="83"/>
      <c r="C14" s="83"/>
      <c r="D14" s="83"/>
      <c r="E14" s="83"/>
      <c r="F14" s="83"/>
      <c r="G14" s="83"/>
      <c r="H14" s="83"/>
      <c r="I14" s="83">
        <f>+B14+C14+D14+E14+G14+H14</f>
        <v>0</v>
      </c>
      <c r="J14" s="83">
        <f t="shared" si="6"/>
        <v>0</v>
      </c>
      <c r="K14" s="83">
        <f t="shared" si="7"/>
        <v>0</v>
      </c>
    </row>
    <row r="15" spans="1:11" x14ac:dyDescent="0.3">
      <c r="A15" s="82" t="s">
        <v>61</v>
      </c>
      <c r="B15" s="84">
        <f>SUM(B11:B14)</f>
        <v>0</v>
      </c>
      <c r="C15" s="84">
        <f>SUM(C11:C14)</f>
        <v>0</v>
      </c>
      <c r="D15" s="84">
        <f t="shared" ref="D15:I15" si="8">SUM(D11:D14)</f>
        <v>0</v>
      </c>
      <c r="E15" s="84">
        <f t="shared" si="8"/>
        <v>0</v>
      </c>
      <c r="F15" s="84">
        <f t="shared" si="8"/>
        <v>0</v>
      </c>
      <c r="G15" s="84">
        <f t="shared" si="8"/>
        <v>0</v>
      </c>
      <c r="H15" s="84">
        <f t="shared" si="8"/>
        <v>0</v>
      </c>
      <c r="I15" s="84">
        <f t="shared" si="8"/>
        <v>0</v>
      </c>
      <c r="J15" s="83">
        <f t="shared" si="6"/>
        <v>0</v>
      </c>
      <c r="K15" s="84">
        <f>SUM(K11:K14)</f>
        <v>0</v>
      </c>
    </row>
    <row r="16" spans="1:11" x14ac:dyDescent="0.3">
      <c r="A16" s="118"/>
      <c r="B16" s="119"/>
      <c r="C16" s="119"/>
      <c r="D16" s="119"/>
      <c r="E16" s="119"/>
      <c r="F16" s="119"/>
      <c r="G16" s="119"/>
      <c r="H16" s="119"/>
      <c r="I16" s="119"/>
      <c r="J16" s="120"/>
      <c r="K16" s="119"/>
    </row>
    <row r="17" spans="1:12" x14ac:dyDescent="0.3">
      <c r="A17" s="221" t="s">
        <v>303</v>
      </c>
      <c r="B17" s="221"/>
    </row>
    <row r="18" spans="1:12" ht="72" x14ac:dyDescent="0.3">
      <c r="A18" s="80" t="s">
        <v>63</v>
      </c>
      <c r="B18" s="79" t="s">
        <v>70</v>
      </c>
      <c r="C18" s="79" t="s">
        <v>69</v>
      </c>
      <c r="D18" s="79" t="s">
        <v>64</v>
      </c>
      <c r="E18" s="79" t="s">
        <v>289</v>
      </c>
      <c r="F18" s="79" t="s">
        <v>65</v>
      </c>
      <c r="G18" s="79" t="s">
        <v>71</v>
      </c>
      <c r="H18" s="79" t="s">
        <v>72</v>
      </c>
      <c r="I18" s="79" t="s">
        <v>66</v>
      </c>
      <c r="J18" s="79" t="s">
        <v>67</v>
      </c>
      <c r="K18" s="79" t="s">
        <v>68</v>
      </c>
    </row>
    <row r="19" spans="1:12" x14ac:dyDescent="0.3">
      <c r="A19" s="81"/>
      <c r="B19" s="83"/>
      <c r="C19" s="83"/>
      <c r="D19" s="83"/>
      <c r="E19" s="83"/>
      <c r="F19" s="83"/>
      <c r="G19" s="83"/>
      <c r="H19" s="83"/>
      <c r="I19" s="83">
        <f>+B19+C19+D19+E19+G19+H19</f>
        <v>0</v>
      </c>
      <c r="J19" s="83">
        <f>+F19</f>
        <v>0</v>
      </c>
      <c r="K19" s="83">
        <f>+I19+J19</f>
        <v>0</v>
      </c>
    </row>
    <row r="20" spans="1:12" x14ac:dyDescent="0.3">
      <c r="A20" s="81"/>
      <c r="B20" s="83"/>
      <c r="C20" s="83"/>
      <c r="D20" s="83"/>
      <c r="E20" s="83"/>
      <c r="F20" s="83"/>
      <c r="G20" s="83"/>
      <c r="H20" s="83"/>
      <c r="I20" s="83">
        <f>+B20+C20+D20+E20+G20+H20</f>
        <v>0</v>
      </c>
      <c r="J20" s="83">
        <f t="shared" ref="J20:J23" si="9">+F20</f>
        <v>0</v>
      </c>
      <c r="K20" s="83">
        <f t="shared" ref="K20:K22" si="10">+I20+J20</f>
        <v>0</v>
      </c>
    </row>
    <row r="21" spans="1:12" x14ac:dyDescent="0.3">
      <c r="A21" s="81"/>
      <c r="B21" s="83"/>
      <c r="C21" s="83"/>
      <c r="D21" s="83"/>
      <c r="E21" s="83"/>
      <c r="F21" s="83"/>
      <c r="G21" s="83"/>
      <c r="H21" s="83"/>
      <c r="I21" s="83">
        <f>+B21+C21+D21+E21+G21+H21</f>
        <v>0</v>
      </c>
      <c r="J21" s="83">
        <f t="shared" si="9"/>
        <v>0</v>
      </c>
      <c r="K21" s="83">
        <f t="shared" si="10"/>
        <v>0</v>
      </c>
    </row>
    <row r="22" spans="1:12" x14ac:dyDescent="0.3">
      <c r="A22" s="81"/>
      <c r="B22" s="83"/>
      <c r="C22" s="83"/>
      <c r="D22" s="83"/>
      <c r="E22" s="83"/>
      <c r="F22" s="83"/>
      <c r="G22" s="83"/>
      <c r="H22" s="83"/>
      <c r="I22" s="83">
        <f>+B22+C22+D22+E22+G22+H22</f>
        <v>0</v>
      </c>
      <c r="J22" s="83">
        <f t="shared" si="9"/>
        <v>0</v>
      </c>
      <c r="K22" s="83">
        <f t="shared" si="10"/>
        <v>0</v>
      </c>
    </row>
    <row r="23" spans="1:12" x14ac:dyDescent="0.3">
      <c r="A23" s="82" t="s">
        <v>61</v>
      </c>
      <c r="B23" s="84">
        <f>SUM(B19:B22)</f>
        <v>0</v>
      </c>
      <c r="C23" s="84">
        <f>SUM(C19:C22)</f>
        <v>0</v>
      </c>
      <c r="D23" s="84">
        <f t="shared" ref="D23:I23" si="11">SUM(D19:D22)</f>
        <v>0</v>
      </c>
      <c r="E23" s="84">
        <f t="shared" si="11"/>
        <v>0</v>
      </c>
      <c r="F23" s="84">
        <f t="shared" si="11"/>
        <v>0</v>
      </c>
      <c r="G23" s="84">
        <f t="shared" si="11"/>
        <v>0</v>
      </c>
      <c r="H23" s="84">
        <f t="shared" si="11"/>
        <v>0</v>
      </c>
      <c r="I23" s="84">
        <f t="shared" si="11"/>
        <v>0</v>
      </c>
      <c r="J23" s="83">
        <f t="shared" si="9"/>
        <v>0</v>
      </c>
      <c r="K23" s="84">
        <f>SUM(K19:K22)</f>
        <v>0</v>
      </c>
    </row>
    <row r="24" spans="1:12" x14ac:dyDescent="0.3">
      <c r="A24" s="118"/>
      <c r="B24" s="119"/>
      <c r="C24" s="119"/>
      <c r="D24" s="119"/>
      <c r="E24" s="119"/>
      <c r="F24" s="119"/>
      <c r="G24" s="119"/>
      <c r="H24" s="119"/>
      <c r="I24" s="119"/>
      <c r="J24" s="120"/>
      <c r="K24" s="119"/>
    </row>
    <row r="25" spans="1:12" ht="57.6" customHeight="1" x14ac:dyDescent="0.3">
      <c r="A25" s="218" t="s">
        <v>63</v>
      </c>
      <c r="B25" s="121" t="s">
        <v>64</v>
      </c>
      <c r="C25" s="121" t="s">
        <v>294</v>
      </c>
      <c r="D25" s="220" t="s">
        <v>71</v>
      </c>
      <c r="E25" s="220"/>
      <c r="F25" s="121" t="s">
        <v>72</v>
      </c>
      <c r="G25" s="115"/>
      <c r="H25" s="115"/>
      <c r="I25" s="115"/>
      <c r="J25" s="115"/>
      <c r="K25" s="115"/>
      <c r="L25" s="90"/>
    </row>
    <row r="26" spans="1:12" ht="172.8" x14ac:dyDescent="0.3">
      <c r="A26" s="219"/>
      <c r="B26" s="114" t="s">
        <v>302</v>
      </c>
      <c r="C26" s="114" t="s">
        <v>301</v>
      </c>
      <c r="D26" s="114" t="s">
        <v>300</v>
      </c>
      <c r="E26" s="114" t="s">
        <v>299</v>
      </c>
      <c r="F26" s="114" t="s">
        <v>298</v>
      </c>
      <c r="G26" s="116"/>
      <c r="H26" s="116"/>
      <c r="I26" s="116"/>
      <c r="J26" s="116"/>
      <c r="K26" s="116"/>
      <c r="L26" s="90"/>
    </row>
    <row r="27" spans="1:12" x14ac:dyDescent="0.3">
      <c r="A27" s="169" t="s">
        <v>321</v>
      </c>
      <c r="B27" s="172">
        <v>1179000000</v>
      </c>
      <c r="C27" s="172">
        <v>0</v>
      </c>
      <c r="D27" s="172">
        <f>1550000000</f>
        <v>1550000000</v>
      </c>
      <c r="E27" s="172">
        <v>0</v>
      </c>
      <c r="F27" s="172">
        <v>0</v>
      </c>
      <c r="G27" s="90"/>
      <c r="H27" s="90"/>
      <c r="I27" s="90"/>
      <c r="J27" s="90"/>
      <c r="K27" s="90"/>
      <c r="L27" s="90"/>
    </row>
    <row r="28" spans="1:12" x14ac:dyDescent="0.3">
      <c r="A28" s="81"/>
      <c r="B28" s="173"/>
      <c r="C28" s="173"/>
      <c r="D28" s="173"/>
      <c r="E28" s="173"/>
      <c r="F28" s="173"/>
      <c r="G28" s="90"/>
      <c r="H28" s="90"/>
      <c r="I28" s="90"/>
      <c r="J28" s="90"/>
      <c r="K28" s="90"/>
      <c r="L28" s="90"/>
    </row>
    <row r="29" spans="1:12" x14ac:dyDescent="0.3">
      <c r="A29" s="81"/>
      <c r="B29" s="173"/>
      <c r="C29" s="173"/>
      <c r="D29" s="173"/>
      <c r="E29" s="173"/>
      <c r="F29" s="173"/>
      <c r="G29" s="90"/>
      <c r="H29" s="90"/>
      <c r="I29" s="90"/>
      <c r="J29" s="90"/>
      <c r="K29" s="90"/>
      <c r="L29" s="90"/>
    </row>
    <row r="30" spans="1:12" x14ac:dyDescent="0.3">
      <c r="A30" s="81"/>
      <c r="B30" s="173"/>
      <c r="C30" s="173"/>
      <c r="D30" s="173"/>
      <c r="E30" s="173"/>
      <c r="F30" s="173"/>
      <c r="G30" s="90"/>
      <c r="H30" s="90"/>
      <c r="I30" s="90"/>
      <c r="J30" s="90"/>
      <c r="K30" s="90"/>
      <c r="L30" s="90"/>
    </row>
    <row r="31" spans="1:12" x14ac:dyDescent="0.3">
      <c r="A31" s="82" t="s">
        <v>61</v>
      </c>
      <c r="B31" s="173">
        <f>SUM(B27:B30)</f>
        <v>1179000000</v>
      </c>
      <c r="C31" s="173">
        <f t="shared" ref="C31:F31" si="12">SUM(C27:C30)</f>
        <v>0</v>
      </c>
      <c r="D31" s="173">
        <f t="shared" si="12"/>
        <v>1550000000</v>
      </c>
      <c r="E31" s="173">
        <f t="shared" si="12"/>
        <v>0</v>
      </c>
      <c r="F31" s="173">
        <f t="shared" si="12"/>
        <v>0</v>
      </c>
      <c r="G31" s="90"/>
      <c r="H31" s="90"/>
      <c r="I31" s="90"/>
      <c r="J31" s="90"/>
      <c r="K31" s="90"/>
      <c r="L31" s="90"/>
    </row>
    <row r="32" spans="1:12" x14ac:dyDescent="0.3">
      <c r="A32" t="s">
        <v>297</v>
      </c>
    </row>
  </sheetData>
  <customSheetViews>
    <customSheetView guid="{CDDE5582-318E-4169-A2B3-E6801A91775C}">
      <selection activeCell="E24" sqref="E24"/>
      <pageMargins left="0.7" right="0.7" top="0.75" bottom="0.75" header="0.3" footer="0.3"/>
    </customSheetView>
    <customSheetView guid="{BA39A66F-2AC6-4033-9771-EB339C8851A1}">
      <selection activeCell="E24" sqref="E24"/>
      <pageMargins left="0.7" right="0.7" top="0.75" bottom="0.75" header="0.3" footer="0.3"/>
    </customSheetView>
  </customSheetViews>
  <mergeCells count="3">
    <mergeCell ref="A25:A26"/>
    <mergeCell ref="D25:E25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opLeftCell="A11" workbookViewId="0">
      <selection activeCell="J3" sqref="J3:J10"/>
    </sheetView>
  </sheetViews>
  <sheetFormatPr defaultRowHeight="14.4" x14ac:dyDescent="0.3"/>
  <cols>
    <col min="1" max="1" width="31.109375" customWidth="1"/>
    <col min="2" max="2" width="14.6640625" customWidth="1"/>
    <col min="3" max="3" width="13.88671875" customWidth="1"/>
    <col min="4" max="4" width="14.44140625" customWidth="1"/>
    <col min="5" max="5" width="12.6640625" customWidth="1"/>
    <col min="6" max="6" width="16.109375" customWidth="1"/>
    <col min="7" max="7" width="15.44140625" customWidth="1"/>
    <col min="8" max="8" width="18.44140625" customWidth="1"/>
    <col min="9" max="9" width="17.88671875" customWidth="1"/>
    <col min="10" max="10" width="18.5546875" customWidth="1"/>
  </cols>
  <sheetData>
    <row r="1" spans="1:10" ht="21" customHeight="1" x14ac:dyDescent="0.3">
      <c r="A1" s="222" t="s">
        <v>304</v>
      </c>
      <c r="B1" s="222"/>
      <c r="C1" s="222"/>
      <c r="D1" s="222"/>
      <c r="E1" s="222"/>
      <c r="F1" s="222"/>
      <c r="G1" s="222"/>
      <c r="H1" s="222"/>
    </row>
    <row r="2" spans="1:10" ht="57.6" x14ac:dyDescent="0.3">
      <c r="A2" s="89" t="s">
        <v>79</v>
      </c>
      <c r="B2" s="89" t="s">
        <v>80</v>
      </c>
      <c r="C2" s="89" t="s">
        <v>86</v>
      </c>
      <c r="D2" s="89" t="s">
        <v>87</v>
      </c>
      <c r="E2" s="89" t="s">
        <v>88</v>
      </c>
      <c r="F2" s="89" t="s">
        <v>81</v>
      </c>
      <c r="G2" s="89" t="s">
        <v>82</v>
      </c>
      <c r="H2" s="89" t="s">
        <v>83</v>
      </c>
      <c r="I2" s="89" t="s">
        <v>84</v>
      </c>
      <c r="J2" s="89" t="s">
        <v>85</v>
      </c>
    </row>
    <row r="3" spans="1:10" x14ac:dyDescent="0.3">
      <c r="A3" s="174" t="s">
        <v>322</v>
      </c>
      <c r="B3" s="223">
        <f>16795734233-32058410</f>
        <v>16763675823</v>
      </c>
      <c r="C3" s="223">
        <v>3982106965</v>
      </c>
      <c r="D3" s="223">
        <f>122000044</f>
        <v>122000044</v>
      </c>
      <c r="E3" s="223">
        <v>3167765918</v>
      </c>
      <c r="F3" s="223">
        <f>D3+E3</f>
        <v>3289765962</v>
      </c>
      <c r="G3" s="223">
        <f>8019395550+128051133</f>
        <v>8147446683</v>
      </c>
      <c r="H3" s="223">
        <f>B3+C3+E3+G3</f>
        <v>32060995389</v>
      </c>
      <c r="I3" s="223">
        <f>D3</f>
        <v>122000044</v>
      </c>
      <c r="J3" s="223">
        <f>H3+I3</f>
        <v>32182995433</v>
      </c>
    </row>
    <row r="4" spans="1:10" x14ac:dyDescent="0.3">
      <c r="A4" s="174" t="s">
        <v>323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0" x14ac:dyDescent="0.3">
      <c r="A5" s="174" t="s">
        <v>324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10" x14ac:dyDescent="0.3">
      <c r="A6" s="174" t="s">
        <v>325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10" x14ac:dyDescent="0.3">
      <c r="A7" s="122"/>
      <c r="B7" s="224"/>
      <c r="C7" s="224"/>
      <c r="D7" s="224"/>
      <c r="E7" s="224"/>
      <c r="F7" s="224"/>
      <c r="G7" s="224"/>
      <c r="H7" s="224"/>
      <c r="I7" s="224"/>
      <c r="J7" s="224"/>
    </row>
    <row r="8" spans="1:10" x14ac:dyDescent="0.3">
      <c r="A8" s="122"/>
      <c r="B8" s="224"/>
      <c r="C8" s="224"/>
      <c r="D8" s="224"/>
      <c r="E8" s="224"/>
      <c r="F8" s="224"/>
      <c r="G8" s="224"/>
      <c r="H8" s="224"/>
      <c r="I8" s="224"/>
      <c r="J8" s="224"/>
    </row>
    <row r="9" spans="1:10" x14ac:dyDescent="0.3">
      <c r="A9" s="122"/>
      <c r="B9" s="224"/>
      <c r="C9" s="224"/>
      <c r="D9" s="224"/>
      <c r="E9" s="224"/>
      <c r="F9" s="224"/>
      <c r="G9" s="224"/>
      <c r="H9" s="224"/>
      <c r="I9" s="224"/>
      <c r="J9" s="224"/>
    </row>
    <row r="10" spans="1:10" x14ac:dyDescent="0.3">
      <c r="A10" s="122"/>
      <c r="B10" s="225"/>
      <c r="C10" s="225"/>
      <c r="D10" s="225"/>
      <c r="E10" s="225"/>
      <c r="F10" s="225"/>
      <c r="G10" s="225"/>
      <c r="H10" s="225"/>
      <c r="I10" s="225"/>
      <c r="J10" s="225"/>
    </row>
    <row r="12" spans="1:10" ht="43.2" x14ac:dyDescent="0.3">
      <c r="A12" s="88" t="s">
        <v>89</v>
      </c>
      <c r="B12" s="88" t="s">
        <v>116</v>
      </c>
      <c r="C12" s="88" t="s">
        <v>102</v>
      </c>
      <c r="D12" s="88" t="s">
        <v>103</v>
      </c>
    </row>
    <row r="13" spans="1:10" ht="76.5" customHeight="1" x14ac:dyDescent="0.3">
      <c r="A13" s="86" t="s">
        <v>104</v>
      </c>
      <c r="B13" s="168">
        <f>+'1. forrasösszesítő'!B2*0.1</f>
        <v>12732200000</v>
      </c>
      <c r="C13" s="168">
        <f>+J3</f>
        <v>32182995433</v>
      </c>
      <c r="D13" s="167">
        <f>+C13/'1. forrasösszesítő'!B2</f>
        <v>0.25276853515496145</v>
      </c>
      <c r="G13" s="175"/>
    </row>
    <row r="14" spans="1:10" ht="100.8" x14ac:dyDescent="0.3">
      <c r="A14" s="86" t="s">
        <v>305</v>
      </c>
      <c r="B14" s="168">
        <f>+'1. forrasösszesítő'!F42*0.15</f>
        <v>516661361.54999995</v>
      </c>
      <c r="C14" s="168">
        <v>1664000000</v>
      </c>
      <c r="D14" s="167">
        <f>+C14/'1. forrasösszesítő'!F42</f>
        <v>0.48310173466657602</v>
      </c>
    </row>
    <row r="15" spans="1:10" ht="115.2" x14ac:dyDescent="0.3">
      <c r="A15" s="86" t="s">
        <v>306</v>
      </c>
      <c r="B15" s="168">
        <f>+'1. forrasösszesítő'!F39*0.15</f>
        <v>251226904.94999999</v>
      </c>
      <c r="C15" s="168">
        <v>678706462</v>
      </c>
      <c r="D15" s="167">
        <f>+C15/'1. forrasösszesítő'!F39</f>
        <v>0.40523513721693843</v>
      </c>
    </row>
  </sheetData>
  <customSheetViews>
    <customSheetView guid="{CDDE5582-318E-4169-A2B3-E6801A91775C}" topLeftCell="A4">
      <selection activeCell="F14" sqref="F14"/>
      <pageMargins left="0.7" right="0.7" top="0.75" bottom="0.75" header="0.3" footer="0.3"/>
      <pageSetup paperSize="9" orientation="portrait" r:id="rId1"/>
    </customSheetView>
    <customSheetView guid="{BA39A66F-2AC6-4033-9771-EB339C8851A1}">
      <selection activeCell="A13" sqref="A13"/>
      <pageMargins left="0.7" right="0.7" top="0.75" bottom="0.75" header="0.3" footer="0.3"/>
      <pageSetup paperSize="9" orientation="portrait" r:id="rId2"/>
    </customSheetView>
  </customSheetViews>
  <mergeCells count="10">
    <mergeCell ref="A1:H1"/>
    <mergeCell ref="H3:H10"/>
    <mergeCell ref="I3:I10"/>
    <mergeCell ref="J3:J10"/>
    <mergeCell ref="B3:B10"/>
    <mergeCell ref="C3:C10"/>
    <mergeCell ref="D3:D10"/>
    <mergeCell ref="E3:E10"/>
    <mergeCell ref="F3:F10"/>
    <mergeCell ref="G3:G10"/>
  </mergeCell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>
      <selection activeCell="B19" sqref="B19"/>
    </sheetView>
  </sheetViews>
  <sheetFormatPr defaultRowHeight="14.4" x14ac:dyDescent="0.3"/>
  <cols>
    <col min="1" max="1" width="45.88671875" customWidth="1"/>
    <col min="2" max="2" width="41.44140625" customWidth="1"/>
  </cols>
  <sheetData>
    <row r="1" spans="1:2" ht="39.75" customHeight="1" x14ac:dyDescent="0.3">
      <c r="A1" s="75" t="s">
        <v>62</v>
      </c>
      <c r="B1" s="76" t="s">
        <v>35</v>
      </c>
    </row>
    <row r="2" spans="1:2" ht="28.8" x14ac:dyDescent="0.3">
      <c r="A2" s="77" t="s">
        <v>40</v>
      </c>
      <c r="B2" s="176">
        <f>+'1. forrasösszesítő'!F11</f>
        <v>100000000</v>
      </c>
    </row>
    <row r="3" spans="1:2" x14ac:dyDescent="0.3">
      <c r="A3" s="77" t="s">
        <v>1</v>
      </c>
      <c r="B3" s="176">
        <f>+'1. forrasösszesítő'!F19</f>
        <v>34007320128</v>
      </c>
    </row>
    <row r="4" spans="1:2" x14ac:dyDescent="0.3">
      <c r="A4" s="77" t="s">
        <v>17</v>
      </c>
      <c r="B4" s="176">
        <f>+'1. forrasösszesítő'!F22</f>
        <v>22600752870</v>
      </c>
    </row>
    <row r="5" spans="1:2" x14ac:dyDescent="0.3">
      <c r="A5" s="77" t="s">
        <v>96</v>
      </c>
      <c r="B5" s="176">
        <f>+'1. forrasösszesítő'!F29</f>
        <v>12341446473</v>
      </c>
    </row>
    <row r="6" spans="1:2" x14ac:dyDescent="0.3">
      <c r="A6" s="77" t="s">
        <v>3</v>
      </c>
      <c r="B6" s="176">
        <f>+'1. forrasösszesítő'!F33</f>
        <v>9475000000</v>
      </c>
    </row>
    <row r="7" spans="1:2" x14ac:dyDescent="0.3">
      <c r="A7" s="77" t="s">
        <v>4</v>
      </c>
      <c r="B7" s="176">
        <f>+'1. forrasösszesítő'!F35</f>
        <v>5925000000</v>
      </c>
    </row>
    <row r="8" spans="1:2" x14ac:dyDescent="0.3">
      <c r="A8" s="77" t="s">
        <v>16</v>
      </c>
      <c r="B8" s="176">
        <f>+'1. forrasösszesítő'!F43</f>
        <v>8498563211</v>
      </c>
    </row>
    <row r="9" spans="1:2" x14ac:dyDescent="0.3">
      <c r="A9" s="77" t="s">
        <v>45</v>
      </c>
      <c r="B9" s="176">
        <f>+'1. forrasösszesítő'!F45</f>
        <v>8744887130</v>
      </c>
    </row>
    <row r="10" spans="1:2" x14ac:dyDescent="0.3">
      <c r="A10" s="77" t="s">
        <v>50</v>
      </c>
      <c r="B10" s="176">
        <f>+'1. forrasösszesítő'!F50</f>
        <v>23809030188</v>
      </c>
    </row>
    <row r="11" spans="1:2" ht="15" thickBot="1" x14ac:dyDescent="0.35">
      <c r="A11" s="78" t="s">
        <v>56</v>
      </c>
      <c r="B11" s="177">
        <f>+'1. forrasösszesítő'!F52</f>
        <v>1820000000</v>
      </c>
    </row>
    <row r="12" spans="1:2" ht="16.2" thickBot="1" x14ac:dyDescent="0.35">
      <c r="A12" s="74" t="s">
        <v>61</v>
      </c>
      <c r="B12" s="178">
        <f>SUM(B2:B11)</f>
        <v>127322000000</v>
      </c>
    </row>
  </sheetData>
  <customSheetViews>
    <customSheetView guid="{CDDE5582-318E-4169-A2B3-E6801A91775C}">
      <selection activeCell="J34" sqref="J34"/>
      <pageMargins left="0.7" right="0.7" top="0.75" bottom="0.75" header="0.3" footer="0.3"/>
    </customSheetView>
    <customSheetView guid="{BA39A66F-2AC6-4033-9771-EB339C8851A1}">
      <selection activeCell="A18" sqref="A18"/>
      <pageMargins left="0.7" right="0.7" top="0.75" bottom="0.75" header="0.3" footer="0.3"/>
    </customSheetView>
  </customSheetView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1" operator="equal" id="{72E3CF8D-C691-4D4A-B331-3B0E7325003C}">
            <xm:f>'1. forrasösszesítő'!$J$6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ABF5-64DD-473D-9957-9E6D785DAE83}">
  <dimension ref="A1:O8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O1"/>
    </sheetView>
  </sheetViews>
  <sheetFormatPr defaultColWidth="9.109375" defaultRowHeight="14.4" x14ac:dyDescent="0.3"/>
  <cols>
    <col min="1" max="1" width="9.44140625" customWidth="1"/>
    <col min="2" max="3" width="18.88671875" customWidth="1"/>
    <col min="4" max="4" width="18.44140625" customWidth="1"/>
    <col min="5" max="5" width="21.44140625" customWidth="1"/>
    <col min="6" max="6" width="20.5546875" customWidth="1"/>
    <col min="7" max="7" width="17.33203125" customWidth="1"/>
    <col min="8" max="8" width="17.5546875" customWidth="1"/>
    <col min="9" max="9" width="20.88671875" customWidth="1"/>
    <col min="10" max="15" width="15.5546875" customWidth="1"/>
  </cols>
  <sheetData>
    <row r="1" spans="1:15" ht="27" customHeight="1" x14ac:dyDescent="0.3">
      <c r="A1" s="226" t="s">
        <v>503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53.25" customHeight="1" x14ac:dyDescent="0.3">
      <c r="A2" s="228" t="s">
        <v>118</v>
      </c>
      <c r="B2" s="230" t="s">
        <v>119</v>
      </c>
      <c r="C2" s="230" t="s">
        <v>326</v>
      </c>
      <c r="D2" s="230" t="s">
        <v>120</v>
      </c>
      <c r="E2" s="230" t="s">
        <v>121</v>
      </c>
      <c r="F2" s="230" t="s">
        <v>122</v>
      </c>
      <c r="G2" s="230" t="s">
        <v>123</v>
      </c>
      <c r="H2" s="230" t="s">
        <v>117</v>
      </c>
      <c r="I2" s="97" t="s">
        <v>124</v>
      </c>
      <c r="J2" s="179" t="s">
        <v>154</v>
      </c>
      <c r="K2" s="179" t="s">
        <v>155</v>
      </c>
      <c r="L2" s="179" t="s">
        <v>156</v>
      </c>
      <c r="M2" s="179" t="s">
        <v>327</v>
      </c>
      <c r="N2" s="179" t="s">
        <v>328</v>
      </c>
      <c r="O2" s="179" t="s">
        <v>329</v>
      </c>
    </row>
    <row r="3" spans="1:15" ht="156.75" customHeight="1" x14ac:dyDescent="0.3">
      <c r="A3" s="229"/>
      <c r="B3" s="231"/>
      <c r="C3" s="231"/>
      <c r="D3" s="231"/>
      <c r="E3" s="231"/>
      <c r="F3" s="231"/>
      <c r="G3" s="231"/>
      <c r="H3" s="231"/>
      <c r="I3" s="98" t="s">
        <v>125</v>
      </c>
      <c r="J3" s="179" t="s">
        <v>330</v>
      </c>
      <c r="K3" s="179" t="s">
        <v>331</v>
      </c>
      <c r="L3" s="179" t="s">
        <v>332</v>
      </c>
      <c r="M3" s="179" t="s">
        <v>333</v>
      </c>
      <c r="N3" s="179" t="s">
        <v>334</v>
      </c>
      <c r="O3" s="179" t="s">
        <v>335</v>
      </c>
    </row>
    <row r="4" spans="1:15" ht="41.4" x14ac:dyDescent="0.3">
      <c r="A4" s="86" t="s">
        <v>126</v>
      </c>
      <c r="B4" s="180" t="s">
        <v>336</v>
      </c>
      <c r="C4" s="181">
        <v>1838</v>
      </c>
      <c r="D4" s="180" t="s">
        <v>337</v>
      </c>
      <c r="E4" s="180" t="s">
        <v>324</v>
      </c>
      <c r="F4" s="180">
        <v>0</v>
      </c>
      <c r="G4" s="182" t="s">
        <v>338</v>
      </c>
      <c r="H4" s="180" t="s">
        <v>339</v>
      </c>
      <c r="I4" s="86"/>
      <c r="J4" s="182">
        <v>3</v>
      </c>
      <c r="K4" s="182">
        <v>1</v>
      </c>
      <c r="L4" s="182">
        <v>0</v>
      </c>
      <c r="M4" s="180">
        <v>1</v>
      </c>
      <c r="N4" s="180">
        <v>0</v>
      </c>
      <c r="O4" s="180">
        <v>0</v>
      </c>
    </row>
    <row r="5" spans="1:15" x14ac:dyDescent="0.3">
      <c r="A5" s="86" t="s">
        <v>127</v>
      </c>
      <c r="B5" s="180" t="s">
        <v>340</v>
      </c>
      <c r="C5" s="181">
        <v>676</v>
      </c>
      <c r="D5" s="180" t="s">
        <v>337</v>
      </c>
      <c r="E5" s="180" t="s">
        <v>322</v>
      </c>
      <c r="F5" s="180">
        <v>0</v>
      </c>
      <c r="G5" s="182" t="s">
        <v>341</v>
      </c>
      <c r="H5" s="180" t="s">
        <v>342</v>
      </c>
      <c r="I5" s="86"/>
      <c r="J5" s="182">
        <v>3</v>
      </c>
      <c r="K5" s="182">
        <v>1</v>
      </c>
      <c r="L5" s="182">
        <v>0</v>
      </c>
      <c r="M5" s="180">
        <v>1</v>
      </c>
      <c r="N5" s="180">
        <v>1</v>
      </c>
      <c r="O5" s="180">
        <v>0</v>
      </c>
    </row>
    <row r="6" spans="1:15" ht="41.4" x14ac:dyDescent="0.3">
      <c r="A6" s="86" t="s">
        <v>128</v>
      </c>
      <c r="B6" s="180" t="s">
        <v>343</v>
      </c>
      <c r="C6" s="181">
        <v>2515</v>
      </c>
      <c r="D6" s="180" t="s">
        <v>344</v>
      </c>
      <c r="E6" s="180" t="s">
        <v>324</v>
      </c>
      <c r="F6" s="180">
        <v>0</v>
      </c>
      <c r="G6" s="182" t="s">
        <v>338</v>
      </c>
      <c r="H6" s="180" t="s">
        <v>339</v>
      </c>
      <c r="I6" s="86"/>
      <c r="J6" s="182">
        <v>3</v>
      </c>
      <c r="K6" s="182">
        <v>1</v>
      </c>
      <c r="L6" s="182">
        <v>1</v>
      </c>
      <c r="M6" s="180">
        <v>0</v>
      </c>
      <c r="N6" s="180">
        <v>0</v>
      </c>
      <c r="O6" s="180">
        <v>0</v>
      </c>
    </row>
    <row r="7" spans="1:15" x14ac:dyDescent="0.3">
      <c r="A7" s="86" t="s">
        <v>129</v>
      </c>
      <c r="B7" s="180" t="s">
        <v>345</v>
      </c>
      <c r="C7" s="181">
        <v>1195</v>
      </c>
      <c r="D7" s="180" t="s">
        <v>337</v>
      </c>
      <c r="E7" s="180" t="s">
        <v>322</v>
      </c>
      <c r="F7" s="180">
        <v>0</v>
      </c>
      <c r="G7" s="182" t="s">
        <v>341</v>
      </c>
      <c r="H7" s="180" t="s">
        <v>342</v>
      </c>
      <c r="I7" s="86"/>
      <c r="J7" s="182">
        <v>3</v>
      </c>
      <c r="K7" s="182">
        <v>1</v>
      </c>
      <c r="L7" s="182">
        <v>0</v>
      </c>
      <c r="M7" s="182">
        <v>0</v>
      </c>
      <c r="N7" s="180">
        <v>1</v>
      </c>
      <c r="O7" s="180">
        <v>1</v>
      </c>
    </row>
    <row r="8" spans="1:15" ht="96.6" x14ac:dyDescent="0.3">
      <c r="A8" s="86" t="s">
        <v>130</v>
      </c>
      <c r="B8" s="180" t="s">
        <v>346</v>
      </c>
      <c r="C8" s="181">
        <v>17597</v>
      </c>
      <c r="D8" s="180" t="s">
        <v>347</v>
      </c>
      <c r="E8" s="180" t="s">
        <v>348</v>
      </c>
      <c r="F8" s="180">
        <v>1</v>
      </c>
      <c r="G8" s="182" t="s">
        <v>349</v>
      </c>
      <c r="H8" s="180" t="s">
        <v>350</v>
      </c>
      <c r="I8" s="86"/>
      <c r="J8" s="182">
        <v>0</v>
      </c>
      <c r="K8" s="182">
        <v>1</v>
      </c>
      <c r="L8" s="182">
        <v>3</v>
      </c>
      <c r="M8" s="182">
        <v>0</v>
      </c>
      <c r="N8" s="180">
        <v>0</v>
      </c>
      <c r="O8" s="180">
        <v>0</v>
      </c>
    </row>
    <row r="9" spans="1:15" x14ac:dyDescent="0.3">
      <c r="A9" s="86" t="s">
        <v>131</v>
      </c>
      <c r="B9" s="180" t="s">
        <v>351</v>
      </c>
      <c r="C9" s="181">
        <v>2543</v>
      </c>
      <c r="D9" s="180" t="s">
        <v>337</v>
      </c>
      <c r="E9" s="180" t="s">
        <v>325</v>
      </c>
      <c r="F9" s="180">
        <v>0</v>
      </c>
      <c r="G9" s="182" t="s">
        <v>352</v>
      </c>
      <c r="H9" s="180" t="s">
        <v>353</v>
      </c>
      <c r="I9" s="86"/>
      <c r="J9" s="182">
        <v>3</v>
      </c>
      <c r="K9" s="182">
        <v>1</v>
      </c>
      <c r="L9" s="182">
        <v>1</v>
      </c>
      <c r="M9" s="182">
        <v>0</v>
      </c>
      <c r="N9" s="180">
        <v>1</v>
      </c>
      <c r="O9" s="180">
        <v>0</v>
      </c>
    </row>
    <row r="10" spans="1:15" x14ac:dyDescent="0.3">
      <c r="A10" s="86" t="s">
        <v>132</v>
      </c>
      <c r="B10" s="180" t="s">
        <v>354</v>
      </c>
      <c r="C10" s="181">
        <v>381</v>
      </c>
      <c r="D10" s="180" t="s">
        <v>337</v>
      </c>
      <c r="E10" s="180" t="s">
        <v>322</v>
      </c>
      <c r="F10" s="180">
        <v>0</v>
      </c>
      <c r="G10" s="182" t="s">
        <v>341</v>
      </c>
      <c r="H10" s="180" t="s">
        <v>342</v>
      </c>
      <c r="I10" s="86"/>
      <c r="J10" s="182">
        <v>3</v>
      </c>
      <c r="K10" s="182">
        <v>1</v>
      </c>
      <c r="L10" s="182">
        <v>0</v>
      </c>
      <c r="M10" s="182">
        <v>0</v>
      </c>
      <c r="N10" s="180">
        <v>1</v>
      </c>
      <c r="O10" s="180">
        <v>1</v>
      </c>
    </row>
    <row r="11" spans="1:15" x14ac:dyDescent="0.3">
      <c r="A11" s="86" t="s">
        <v>133</v>
      </c>
      <c r="B11" s="180" t="s">
        <v>355</v>
      </c>
      <c r="C11" s="181">
        <v>2000</v>
      </c>
      <c r="D11" s="180" t="s">
        <v>337</v>
      </c>
      <c r="E11" s="180" t="s">
        <v>322</v>
      </c>
      <c r="F11" s="180">
        <v>0</v>
      </c>
      <c r="G11" s="182" t="s">
        <v>341</v>
      </c>
      <c r="H11" s="180" t="s">
        <v>342</v>
      </c>
      <c r="I11" s="86"/>
      <c r="J11" s="182">
        <v>3</v>
      </c>
      <c r="K11" s="182">
        <v>1</v>
      </c>
      <c r="L11" s="182">
        <v>1</v>
      </c>
      <c r="M11" s="182">
        <v>0</v>
      </c>
      <c r="N11" s="180">
        <v>0</v>
      </c>
      <c r="O11" s="180">
        <v>0</v>
      </c>
    </row>
    <row r="12" spans="1:15" x14ac:dyDescent="0.3">
      <c r="A12" s="86" t="s">
        <v>134</v>
      </c>
      <c r="B12" s="180" t="s">
        <v>356</v>
      </c>
      <c r="C12" s="181">
        <v>14748</v>
      </c>
      <c r="D12" s="180" t="s">
        <v>347</v>
      </c>
      <c r="E12" s="180" t="s">
        <v>322</v>
      </c>
      <c r="F12" s="180">
        <v>1</v>
      </c>
      <c r="G12" s="182" t="s">
        <v>341</v>
      </c>
      <c r="H12" s="180" t="s">
        <v>342</v>
      </c>
      <c r="I12" s="86"/>
      <c r="J12" s="182">
        <v>3</v>
      </c>
      <c r="K12" s="182">
        <v>1</v>
      </c>
      <c r="L12" s="182">
        <v>3</v>
      </c>
      <c r="M12" s="182">
        <v>0</v>
      </c>
      <c r="N12" s="180">
        <v>0</v>
      </c>
      <c r="O12" s="180">
        <v>1</v>
      </c>
    </row>
    <row r="13" spans="1:15" x14ac:dyDescent="0.3">
      <c r="A13" s="86" t="s">
        <v>135</v>
      </c>
      <c r="B13" s="180" t="s">
        <v>357</v>
      </c>
      <c r="C13" s="181">
        <v>174</v>
      </c>
      <c r="D13" s="180" t="s">
        <v>337</v>
      </c>
      <c r="E13" s="180" t="s">
        <v>325</v>
      </c>
      <c r="F13" s="180">
        <v>0</v>
      </c>
      <c r="G13" s="182" t="s">
        <v>352</v>
      </c>
      <c r="H13" s="180" t="s">
        <v>353</v>
      </c>
      <c r="I13" s="86"/>
      <c r="J13" s="182">
        <v>3</v>
      </c>
      <c r="K13" s="182">
        <v>1</v>
      </c>
      <c r="L13" s="182">
        <v>0</v>
      </c>
      <c r="M13" s="180">
        <v>0</v>
      </c>
      <c r="N13" s="180">
        <v>1</v>
      </c>
      <c r="O13" s="180">
        <v>0</v>
      </c>
    </row>
    <row r="14" spans="1:15" x14ac:dyDescent="0.3">
      <c r="A14" s="86" t="s">
        <v>136</v>
      </c>
      <c r="B14" s="180" t="s">
        <v>358</v>
      </c>
      <c r="C14" s="181">
        <v>4604</v>
      </c>
      <c r="D14" s="180" t="s">
        <v>347</v>
      </c>
      <c r="E14" s="180" t="s">
        <v>322</v>
      </c>
      <c r="F14" s="180">
        <v>0</v>
      </c>
      <c r="G14" s="182" t="s">
        <v>341</v>
      </c>
      <c r="H14" s="180" t="s">
        <v>342</v>
      </c>
      <c r="I14" s="86"/>
      <c r="J14" s="182">
        <v>3</v>
      </c>
      <c r="K14" s="182">
        <v>1</v>
      </c>
      <c r="L14" s="182">
        <v>1</v>
      </c>
      <c r="M14" s="182">
        <v>0</v>
      </c>
      <c r="N14" s="180">
        <v>0</v>
      </c>
      <c r="O14" s="180">
        <v>1</v>
      </c>
    </row>
    <row r="15" spans="1:15" x14ac:dyDescent="0.3">
      <c r="A15" s="86" t="s">
        <v>137</v>
      </c>
      <c r="B15" s="180" t="s">
        <v>359</v>
      </c>
      <c r="C15" s="181">
        <v>2689</v>
      </c>
      <c r="D15" s="180" t="s">
        <v>337</v>
      </c>
      <c r="E15" s="180" t="s">
        <v>325</v>
      </c>
      <c r="F15" s="180">
        <v>0</v>
      </c>
      <c r="G15" s="182" t="s">
        <v>352</v>
      </c>
      <c r="H15" s="180" t="s">
        <v>353</v>
      </c>
      <c r="I15" s="86"/>
      <c r="J15" s="182">
        <v>3</v>
      </c>
      <c r="K15" s="182">
        <v>1</v>
      </c>
      <c r="L15" s="182">
        <v>1</v>
      </c>
      <c r="M15" s="180">
        <v>0</v>
      </c>
      <c r="N15" s="180">
        <v>0</v>
      </c>
      <c r="O15" s="180">
        <v>0</v>
      </c>
    </row>
    <row r="16" spans="1:15" x14ac:dyDescent="0.3">
      <c r="A16" s="86" t="s">
        <v>138</v>
      </c>
      <c r="B16" s="180" t="s">
        <v>360</v>
      </c>
      <c r="C16" s="181">
        <v>986</v>
      </c>
      <c r="D16" s="180" t="s">
        <v>337</v>
      </c>
      <c r="E16" s="180" t="s">
        <v>325</v>
      </c>
      <c r="F16" s="180">
        <v>0</v>
      </c>
      <c r="G16" s="182" t="s">
        <v>352</v>
      </c>
      <c r="H16" s="180" t="s">
        <v>353</v>
      </c>
      <c r="I16" s="86"/>
      <c r="J16" s="182">
        <v>3</v>
      </c>
      <c r="K16" s="182">
        <v>1</v>
      </c>
      <c r="L16" s="182">
        <v>0</v>
      </c>
      <c r="M16" s="182">
        <v>0</v>
      </c>
      <c r="N16" s="180">
        <v>0</v>
      </c>
      <c r="O16" s="180">
        <v>0</v>
      </c>
    </row>
    <row r="17" spans="1:15" ht="41.4" x14ac:dyDescent="0.3">
      <c r="A17" s="86" t="s">
        <v>139</v>
      </c>
      <c r="B17" s="180" t="s">
        <v>361</v>
      </c>
      <c r="C17" s="181">
        <v>3864</v>
      </c>
      <c r="D17" s="180" t="s">
        <v>337</v>
      </c>
      <c r="E17" s="180" t="s">
        <v>362</v>
      </c>
      <c r="F17" s="180">
        <v>0</v>
      </c>
      <c r="G17" s="182" t="s">
        <v>363</v>
      </c>
      <c r="H17" s="180" t="s">
        <v>364</v>
      </c>
      <c r="I17" s="86"/>
      <c r="J17" s="182">
        <v>0</v>
      </c>
      <c r="K17" s="182">
        <v>1</v>
      </c>
      <c r="L17" s="182">
        <v>1</v>
      </c>
      <c r="M17" s="180">
        <v>1</v>
      </c>
      <c r="N17" s="180">
        <v>1</v>
      </c>
      <c r="O17" s="180">
        <v>1</v>
      </c>
    </row>
    <row r="18" spans="1:15" x14ac:dyDescent="0.3">
      <c r="A18" s="86" t="s">
        <v>140</v>
      </c>
      <c r="B18" s="180" t="s">
        <v>365</v>
      </c>
      <c r="C18" s="181">
        <v>595</v>
      </c>
      <c r="D18" s="180" t="s">
        <v>337</v>
      </c>
      <c r="E18" s="180" t="s">
        <v>322</v>
      </c>
      <c r="F18" s="180">
        <v>0</v>
      </c>
      <c r="G18" s="182" t="s">
        <v>341</v>
      </c>
      <c r="H18" s="180" t="s">
        <v>342</v>
      </c>
      <c r="I18" s="86"/>
      <c r="J18" s="182">
        <v>3</v>
      </c>
      <c r="K18" s="182">
        <v>1</v>
      </c>
      <c r="L18" s="182">
        <v>0</v>
      </c>
      <c r="M18" s="182">
        <v>0</v>
      </c>
      <c r="N18" s="180">
        <v>0</v>
      </c>
      <c r="O18" s="180">
        <v>0</v>
      </c>
    </row>
    <row r="19" spans="1:15" x14ac:dyDescent="0.3">
      <c r="A19" s="86" t="s">
        <v>141</v>
      </c>
      <c r="B19" s="180" t="s">
        <v>366</v>
      </c>
      <c r="C19" s="181">
        <v>1931</v>
      </c>
      <c r="D19" s="180" t="s">
        <v>344</v>
      </c>
      <c r="E19" s="180" t="s">
        <v>322</v>
      </c>
      <c r="F19" s="180">
        <v>0</v>
      </c>
      <c r="G19" s="182" t="s">
        <v>341</v>
      </c>
      <c r="H19" s="180" t="s">
        <v>342</v>
      </c>
      <c r="I19" s="86"/>
      <c r="J19" s="182">
        <v>3</v>
      </c>
      <c r="K19" s="182">
        <v>1</v>
      </c>
      <c r="L19" s="182">
        <v>0</v>
      </c>
      <c r="M19" s="182">
        <v>0</v>
      </c>
      <c r="N19" s="180">
        <v>0</v>
      </c>
      <c r="O19" s="180">
        <v>0</v>
      </c>
    </row>
    <row r="20" spans="1:15" x14ac:dyDescent="0.3">
      <c r="A20" s="86" t="s">
        <v>142</v>
      </c>
      <c r="B20" s="180" t="s">
        <v>367</v>
      </c>
      <c r="C20" s="181">
        <v>550</v>
      </c>
      <c r="D20" s="180" t="s">
        <v>337</v>
      </c>
      <c r="E20" s="180" t="s">
        <v>322</v>
      </c>
      <c r="F20" s="180">
        <v>0</v>
      </c>
      <c r="G20" s="182" t="s">
        <v>341</v>
      </c>
      <c r="H20" s="180" t="s">
        <v>342</v>
      </c>
      <c r="I20" s="86"/>
      <c r="J20" s="182">
        <v>3</v>
      </c>
      <c r="K20" s="182">
        <v>1</v>
      </c>
      <c r="L20" s="182">
        <v>0</v>
      </c>
      <c r="M20" s="182">
        <v>0</v>
      </c>
      <c r="N20" s="180">
        <v>0</v>
      </c>
      <c r="O20" s="180">
        <v>0</v>
      </c>
    </row>
    <row r="21" spans="1:15" ht="27.6" x14ac:dyDescent="0.3">
      <c r="A21" s="86" t="s">
        <v>143</v>
      </c>
      <c r="B21" s="180" t="s">
        <v>368</v>
      </c>
      <c r="C21" s="181">
        <v>199856</v>
      </c>
      <c r="D21" s="180" t="s">
        <v>369</v>
      </c>
      <c r="E21" s="180" t="s">
        <v>370</v>
      </c>
      <c r="F21" s="180">
        <v>1</v>
      </c>
      <c r="G21" s="182" t="s">
        <v>371</v>
      </c>
      <c r="H21" s="180" t="s">
        <v>372</v>
      </c>
      <c r="I21" s="86"/>
      <c r="J21" s="182">
        <v>0</v>
      </c>
      <c r="K21" s="182">
        <v>0</v>
      </c>
      <c r="L21" s="182">
        <v>3</v>
      </c>
      <c r="M21" s="180">
        <v>0</v>
      </c>
      <c r="N21" s="180">
        <v>1</v>
      </c>
      <c r="O21" s="180">
        <v>1</v>
      </c>
    </row>
    <row r="22" spans="1:15" ht="27.6" x14ac:dyDescent="0.3">
      <c r="A22" s="86" t="s">
        <v>144</v>
      </c>
      <c r="B22" s="180" t="s">
        <v>373</v>
      </c>
      <c r="C22" s="181">
        <v>8677</v>
      </c>
      <c r="D22" s="180" t="s">
        <v>347</v>
      </c>
      <c r="E22" s="180" t="s">
        <v>323</v>
      </c>
      <c r="F22" s="180">
        <v>1</v>
      </c>
      <c r="G22" s="182" t="s">
        <v>374</v>
      </c>
      <c r="H22" s="180" t="s">
        <v>375</v>
      </c>
      <c r="I22" s="86"/>
      <c r="J22" s="182">
        <v>3</v>
      </c>
      <c r="K22" s="182">
        <v>1</v>
      </c>
      <c r="L22" s="182">
        <v>2</v>
      </c>
      <c r="M22" s="182">
        <v>0</v>
      </c>
      <c r="N22" s="180">
        <v>1</v>
      </c>
      <c r="O22" s="180">
        <v>1</v>
      </c>
    </row>
    <row r="23" spans="1:15" ht="27.6" x14ac:dyDescent="0.3">
      <c r="A23" s="86" t="s">
        <v>145</v>
      </c>
      <c r="B23" s="180" t="s">
        <v>376</v>
      </c>
      <c r="C23" s="181">
        <v>4812</v>
      </c>
      <c r="D23" s="180" t="s">
        <v>337</v>
      </c>
      <c r="E23" s="180" t="s">
        <v>377</v>
      </c>
      <c r="F23" s="180">
        <v>0</v>
      </c>
      <c r="G23" s="182" t="s">
        <v>374</v>
      </c>
      <c r="H23" s="180" t="s">
        <v>375</v>
      </c>
      <c r="I23" s="86"/>
      <c r="J23" s="182">
        <v>0</v>
      </c>
      <c r="K23" s="182">
        <v>0</v>
      </c>
      <c r="L23" s="182">
        <v>1</v>
      </c>
      <c r="M23" s="182">
        <v>0</v>
      </c>
      <c r="N23" s="180">
        <v>1</v>
      </c>
      <c r="O23" s="180">
        <v>1</v>
      </c>
    </row>
    <row r="24" spans="1:15" ht="96.6" x14ac:dyDescent="0.3">
      <c r="A24" s="86" t="s">
        <v>146</v>
      </c>
      <c r="B24" s="180" t="s">
        <v>378</v>
      </c>
      <c r="C24" s="181">
        <v>5281</v>
      </c>
      <c r="D24" s="180" t="s">
        <v>344</v>
      </c>
      <c r="E24" s="180" t="s">
        <v>348</v>
      </c>
      <c r="F24" s="180">
        <v>1</v>
      </c>
      <c r="G24" s="182" t="s">
        <v>349</v>
      </c>
      <c r="H24" s="180" t="s">
        <v>350</v>
      </c>
      <c r="I24" s="86"/>
      <c r="J24" s="182">
        <v>0</v>
      </c>
      <c r="K24" s="182">
        <v>1</v>
      </c>
      <c r="L24" s="182">
        <v>2</v>
      </c>
      <c r="M24" s="182">
        <v>0</v>
      </c>
      <c r="N24" s="180">
        <v>0</v>
      </c>
      <c r="O24" s="180">
        <v>0</v>
      </c>
    </row>
    <row r="25" spans="1:15" ht="41.4" x14ac:dyDescent="0.3">
      <c r="A25" s="86" t="s">
        <v>147</v>
      </c>
      <c r="B25" s="180" t="s">
        <v>379</v>
      </c>
      <c r="C25" s="181">
        <v>1435</v>
      </c>
      <c r="D25" s="180" t="s">
        <v>337</v>
      </c>
      <c r="E25" s="180" t="s">
        <v>323</v>
      </c>
      <c r="F25" s="180">
        <v>0</v>
      </c>
      <c r="G25" s="182" t="s">
        <v>338</v>
      </c>
      <c r="H25" s="180" t="s">
        <v>339</v>
      </c>
      <c r="I25" s="86"/>
      <c r="J25" s="182">
        <v>3</v>
      </c>
      <c r="K25" s="182">
        <v>1</v>
      </c>
      <c r="L25" s="182">
        <v>0</v>
      </c>
      <c r="M25" s="180">
        <v>1</v>
      </c>
      <c r="N25" s="180">
        <v>0</v>
      </c>
      <c r="O25" s="180">
        <v>0</v>
      </c>
    </row>
    <row r="26" spans="1:15" ht="96.6" x14ac:dyDescent="0.3">
      <c r="A26" s="86" t="s">
        <v>148</v>
      </c>
      <c r="B26" s="180" t="s">
        <v>380</v>
      </c>
      <c r="C26" s="181">
        <v>3957</v>
      </c>
      <c r="D26" s="180" t="s">
        <v>337</v>
      </c>
      <c r="E26" s="180" t="s">
        <v>381</v>
      </c>
      <c r="F26" s="180">
        <v>0</v>
      </c>
      <c r="G26" s="182" t="s">
        <v>349</v>
      </c>
      <c r="H26" s="180" t="s">
        <v>350</v>
      </c>
      <c r="I26" s="86"/>
      <c r="J26" s="182">
        <v>3</v>
      </c>
      <c r="K26" s="182">
        <v>1</v>
      </c>
      <c r="L26" s="182">
        <v>1</v>
      </c>
      <c r="M26" s="182">
        <v>0</v>
      </c>
      <c r="N26" s="180">
        <v>1</v>
      </c>
      <c r="O26" s="180">
        <v>0</v>
      </c>
    </row>
    <row r="27" spans="1:15" x14ac:dyDescent="0.3">
      <c r="A27" s="86" t="s">
        <v>149</v>
      </c>
      <c r="B27" s="180" t="s">
        <v>382</v>
      </c>
      <c r="C27" s="181">
        <v>3957</v>
      </c>
      <c r="D27" s="180" t="s">
        <v>344</v>
      </c>
      <c r="E27" s="180" t="s">
        <v>325</v>
      </c>
      <c r="F27" s="180">
        <v>0</v>
      </c>
      <c r="G27" s="182" t="s">
        <v>352</v>
      </c>
      <c r="H27" s="180" t="s">
        <v>353</v>
      </c>
      <c r="I27" s="86"/>
      <c r="J27" s="182">
        <v>0</v>
      </c>
      <c r="K27" s="182">
        <v>0</v>
      </c>
      <c r="L27" s="182">
        <v>0</v>
      </c>
      <c r="M27" s="182">
        <v>0</v>
      </c>
      <c r="N27" s="180">
        <v>0</v>
      </c>
      <c r="O27" s="180">
        <v>0</v>
      </c>
    </row>
    <row r="28" spans="1:15" x14ac:dyDescent="0.3">
      <c r="A28" s="86" t="s">
        <v>150</v>
      </c>
      <c r="B28" s="180" t="s">
        <v>383</v>
      </c>
      <c r="C28" s="181">
        <v>1725</v>
      </c>
      <c r="D28" s="180" t="s">
        <v>337</v>
      </c>
      <c r="E28" s="180" t="s">
        <v>322</v>
      </c>
      <c r="F28" s="180">
        <v>0</v>
      </c>
      <c r="G28" s="182" t="s">
        <v>341</v>
      </c>
      <c r="H28" s="180" t="s">
        <v>342</v>
      </c>
      <c r="I28" s="86"/>
      <c r="J28" s="182">
        <v>3</v>
      </c>
      <c r="K28" s="182">
        <v>1</v>
      </c>
      <c r="L28" s="182">
        <v>0</v>
      </c>
      <c r="M28" s="182">
        <v>0</v>
      </c>
      <c r="N28" s="180">
        <v>0</v>
      </c>
      <c r="O28" s="180">
        <v>0</v>
      </c>
    </row>
    <row r="29" spans="1:15" ht="41.4" x14ac:dyDescent="0.3">
      <c r="A29" s="86" t="s">
        <v>151</v>
      </c>
      <c r="B29" s="180" t="s">
        <v>384</v>
      </c>
      <c r="C29" s="181">
        <v>1186</v>
      </c>
      <c r="D29" s="180" t="s">
        <v>337</v>
      </c>
      <c r="E29" s="180" t="s">
        <v>324</v>
      </c>
      <c r="F29" s="180">
        <v>0</v>
      </c>
      <c r="G29" s="182" t="s">
        <v>338</v>
      </c>
      <c r="H29" s="180" t="s">
        <v>339</v>
      </c>
      <c r="I29" s="86"/>
      <c r="J29" s="182">
        <v>3</v>
      </c>
      <c r="K29" s="182">
        <v>1</v>
      </c>
      <c r="L29" s="182">
        <v>0</v>
      </c>
      <c r="M29" s="180">
        <v>0</v>
      </c>
      <c r="N29" s="180">
        <v>0</v>
      </c>
      <c r="O29" s="180">
        <v>0</v>
      </c>
    </row>
    <row r="30" spans="1:15" x14ac:dyDescent="0.3">
      <c r="A30" s="86" t="s">
        <v>152</v>
      </c>
      <c r="B30" s="180" t="s">
        <v>385</v>
      </c>
      <c r="C30" s="181">
        <v>894</v>
      </c>
      <c r="D30" s="180" t="s">
        <v>337</v>
      </c>
      <c r="E30" s="180" t="s">
        <v>322</v>
      </c>
      <c r="F30" s="180">
        <v>0</v>
      </c>
      <c r="G30" s="182" t="s">
        <v>341</v>
      </c>
      <c r="H30" s="180" t="s">
        <v>342</v>
      </c>
      <c r="I30" s="86"/>
      <c r="J30" s="182">
        <v>3</v>
      </c>
      <c r="K30" s="182">
        <v>1</v>
      </c>
      <c r="L30" s="182">
        <v>0</v>
      </c>
      <c r="M30" s="180">
        <v>1</v>
      </c>
      <c r="N30" s="180">
        <v>0</v>
      </c>
      <c r="O30" s="180">
        <v>0</v>
      </c>
    </row>
    <row r="31" spans="1:15" ht="41.4" x14ac:dyDescent="0.3">
      <c r="A31" s="86" t="s">
        <v>386</v>
      </c>
      <c r="B31" s="180" t="s">
        <v>387</v>
      </c>
      <c r="C31" s="181">
        <v>2383</v>
      </c>
      <c r="D31" s="180" t="s">
        <v>337</v>
      </c>
      <c r="E31" s="180" t="s">
        <v>381</v>
      </c>
      <c r="F31" s="180">
        <v>0</v>
      </c>
      <c r="G31" s="182" t="s">
        <v>388</v>
      </c>
      <c r="H31" s="180" t="s">
        <v>389</v>
      </c>
      <c r="I31" s="86"/>
      <c r="J31" s="182">
        <v>0</v>
      </c>
      <c r="K31" s="182">
        <v>0</v>
      </c>
      <c r="L31" s="182">
        <v>1</v>
      </c>
      <c r="M31" s="180">
        <v>0</v>
      </c>
      <c r="N31" s="180">
        <v>1</v>
      </c>
      <c r="O31" s="180">
        <v>1</v>
      </c>
    </row>
    <row r="32" spans="1:15" ht="27.6" x14ac:dyDescent="0.3">
      <c r="A32" s="86" t="s">
        <v>390</v>
      </c>
      <c r="B32" s="180" t="s">
        <v>391</v>
      </c>
      <c r="C32" s="181">
        <v>2101</v>
      </c>
      <c r="D32" s="180" t="s">
        <v>337</v>
      </c>
      <c r="E32" s="180" t="s">
        <v>323</v>
      </c>
      <c r="F32" s="180">
        <v>0</v>
      </c>
      <c r="G32" s="182" t="s">
        <v>374</v>
      </c>
      <c r="H32" s="180" t="s">
        <v>392</v>
      </c>
      <c r="I32" s="86"/>
      <c r="J32" s="182">
        <v>3</v>
      </c>
      <c r="K32" s="182">
        <v>1</v>
      </c>
      <c r="L32" s="182">
        <v>1</v>
      </c>
      <c r="M32" s="180">
        <v>0</v>
      </c>
      <c r="N32" s="180">
        <v>1</v>
      </c>
      <c r="O32" s="180">
        <v>0</v>
      </c>
    </row>
    <row r="33" spans="1:15" ht="41.4" x14ac:dyDescent="0.3">
      <c r="A33" s="86" t="s">
        <v>393</v>
      </c>
      <c r="B33" s="180" t="s">
        <v>394</v>
      </c>
      <c r="C33" s="181">
        <v>30543</v>
      </c>
      <c r="D33" s="180" t="s">
        <v>347</v>
      </c>
      <c r="E33" s="180" t="s">
        <v>395</v>
      </c>
      <c r="F33" s="180">
        <v>1</v>
      </c>
      <c r="G33" s="182" t="s">
        <v>363</v>
      </c>
      <c r="H33" s="180" t="s">
        <v>364</v>
      </c>
      <c r="I33" s="86"/>
      <c r="J33" s="182">
        <v>0</v>
      </c>
      <c r="K33" s="182">
        <v>0</v>
      </c>
      <c r="L33" s="182">
        <v>3</v>
      </c>
      <c r="M33" s="180">
        <v>0</v>
      </c>
      <c r="N33" s="180">
        <v>1</v>
      </c>
      <c r="O33" s="180">
        <v>1</v>
      </c>
    </row>
    <row r="34" spans="1:15" ht="41.4" x14ac:dyDescent="0.3">
      <c r="A34" s="86" t="s">
        <v>396</v>
      </c>
      <c r="B34" s="180" t="s">
        <v>397</v>
      </c>
      <c r="C34" s="181">
        <v>8889</v>
      </c>
      <c r="D34" s="180" t="s">
        <v>347</v>
      </c>
      <c r="E34" s="180" t="s">
        <v>395</v>
      </c>
      <c r="F34" s="180">
        <v>1</v>
      </c>
      <c r="G34" s="182" t="s">
        <v>388</v>
      </c>
      <c r="H34" s="180" t="s">
        <v>389</v>
      </c>
      <c r="I34" s="86"/>
      <c r="J34" s="182">
        <v>0</v>
      </c>
      <c r="K34" s="182">
        <v>0</v>
      </c>
      <c r="L34" s="182">
        <v>2</v>
      </c>
      <c r="M34" s="180">
        <v>0</v>
      </c>
      <c r="N34" s="180">
        <v>1</v>
      </c>
      <c r="O34" s="180">
        <v>1</v>
      </c>
    </row>
    <row r="35" spans="1:15" ht="41.4" x14ac:dyDescent="0.3">
      <c r="A35" s="86" t="s">
        <v>398</v>
      </c>
      <c r="B35" s="180" t="s">
        <v>399</v>
      </c>
      <c r="C35" s="181">
        <v>13447</v>
      </c>
      <c r="D35" s="180" t="s">
        <v>347</v>
      </c>
      <c r="E35" s="180" t="s">
        <v>362</v>
      </c>
      <c r="F35" s="180">
        <v>1</v>
      </c>
      <c r="G35" s="182" t="s">
        <v>363</v>
      </c>
      <c r="H35" s="180" t="s">
        <v>364</v>
      </c>
      <c r="I35" s="86"/>
      <c r="J35" s="182">
        <v>0</v>
      </c>
      <c r="K35" s="182">
        <v>1</v>
      </c>
      <c r="L35" s="182">
        <v>3</v>
      </c>
      <c r="M35" s="180">
        <v>1</v>
      </c>
      <c r="N35" s="180">
        <v>0</v>
      </c>
      <c r="O35" s="180">
        <v>0</v>
      </c>
    </row>
    <row r="36" spans="1:15" ht="41.4" x14ac:dyDescent="0.3">
      <c r="A36" s="86" t="s">
        <v>400</v>
      </c>
      <c r="B36" s="180" t="s">
        <v>401</v>
      </c>
      <c r="C36" s="181">
        <v>16859</v>
      </c>
      <c r="D36" s="180" t="s">
        <v>347</v>
      </c>
      <c r="E36" s="180" t="s">
        <v>381</v>
      </c>
      <c r="F36" s="180">
        <v>1</v>
      </c>
      <c r="G36" s="182" t="s">
        <v>388</v>
      </c>
      <c r="H36" s="180" t="s">
        <v>389</v>
      </c>
      <c r="I36" s="86"/>
      <c r="J36" s="182">
        <v>0</v>
      </c>
      <c r="K36" s="182">
        <v>0</v>
      </c>
      <c r="L36" s="182">
        <v>3</v>
      </c>
      <c r="M36" s="180">
        <v>0</v>
      </c>
      <c r="N36" s="180">
        <v>1</v>
      </c>
      <c r="O36" s="180">
        <v>1</v>
      </c>
    </row>
    <row r="37" spans="1:15" ht="41.4" x14ac:dyDescent="0.3">
      <c r="A37" s="86" t="s">
        <v>402</v>
      </c>
      <c r="B37" s="180" t="s">
        <v>403</v>
      </c>
      <c r="C37" s="181">
        <v>14554</v>
      </c>
      <c r="D37" s="180" t="s">
        <v>347</v>
      </c>
      <c r="E37" s="180" t="s">
        <v>370</v>
      </c>
      <c r="F37" s="180">
        <v>1</v>
      </c>
      <c r="G37" s="182" t="s">
        <v>363</v>
      </c>
      <c r="H37" s="180" t="s">
        <v>364</v>
      </c>
      <c r="I37" s="86"/>
      <c r="J37" s="182">
        <v>0</v>
      </c>
      <c r="K37" s="182">
        <v>1</v>
      </c>
      <c r="L37" s="182">
        <v>3</v>
      </c>
      <c r="M37" s="180">
        <v>1</v>
      </c>
      <c r="N37" s="180">
        <v>0</v>
      </c>
      <c r="O37" s="180">
        <v>0</v>
      </c>
    </row>
    <row r="38" spans="1:15" ht="27.6" x14ac:dyDescent="0.3">
      <c r="A38" s="86" t="s">
        <v>404</v>
      </c>
      <c r="B38" s="180" t="s">
        <v>405</v>
      </c>
      <c r="C38" s="181">
        <v>24286</v>
      </c>
      <c r="D38" s="180" t="s">
        <v>347</v>
      </c>
      <c r="E38" s="180" t="s">
        <v>377</v>
      </c>
      <c r="F38" s="180">
        <v>1</v>
      </c>
      <c r="G38" s="182" t="s">
        <v>374</v>
      </c>
      <c r="H38" s="180" t="s">
        <v>392</v>
      </c>
      <c r="I38" s="86"/>
      <c r="J38" s="182">
        <v>0</v>
      </c>
      <c r="K38" s="182">
        <v>0</v>
      </c>
      <c r="L38" s="182">
        <v>3</v>
      </c>
      <c r="M38" s="180">
        <v>1</v>
      </c>
      <c r="N38" s="180">
        <v>1</v>
      </c>
      <c r="O38" s="180">
        <v>1</v>
      </c>
    </row>
    <row r="39" spans="1:15" ht="27.6" x14ac:dyDescent="0.3">
      <c r="A39" s="86" t="s">
        <v>406</v>
      </c>
      <c r="B39" s="180" t="s">
        <v>407</v>
      </c>
      <c r="C39" s="181">
        <v>3115</v>
      </c>
      <c r="D39" s="180" t="s">
        <v>337</v>
      </c>
      <c r="E39" s="180" t="s">
        <v>377</v>
      </c>
      <c r="F39" s="180">
        <v>0</v>
      </c>
      <c r="G39" s="182" t="s">
        <v>374</v>
      </c>
      <c r="H39" s="180" t="s">
        <v>392</v>
      </c>
      <c r="I39" s="86"/>
      <c r="J39" s="182">
        <v>0</v>
      </c>
      <c r="K39" s="182">
        <v>0</v>
      </c>
      <c r="L39" s="182">
        <v>1</v>
      </c>
      <c r="M39" s="180">
        <v>0</v>
      </c>
      <c r="N39" s="180">
        <v>0</v>
      </c>
      <c r="O39" s="180">
        <v>0</v>
      </c>
    </row>
    <row r="40" spans="1:15" x14ac:dyDescent="0.3">
      <c r="A40" s="86" t="s">
        <v>408</v>
      </c>
      <c r="B40" s="180" t="s">
        <v>409</v>
      </c>
      <c r="C40" s="181">
        <v>1208</v>
      </c>
      <c r="D40" s="180" t="s">
        <v>337</v>
      </c>
      <c r="E40" s="180" t="s">
        <v>322</v>
      </c>
      <c r="F40" s="180">
        <v>0</v>
      </c>
      <c r="G40" s="182" t="s">
        <v>341</v>
      </c>
      <c r="H40" s="180" t="s">
        <v>342</v>
      </c>
      <c r="I40" s="86"/>
      <c r="J40" s="182">
        <v>3</v>
      </c>
      <c r="K40" s="182">
        <v>1</v>
      </c>
      <c r="L40" s="182">
        <v>0</v>
      </c>
      <c r="M40" s="180">
        <v>0</v>
      </c>
      <c r="N40" s="180">
        <v>0</v>
      </c>
      <c r="O40" s="180">
        <v>0</v>
      </c>
    </row>
    <row r="41" spans="1:15" ht="96.6" x14ac:dyDescent="0.3">
      <c r="A41" s="86" t="s">
        <v>410</v>
      </c>
      <c r="B41" s="180" t="s">
        <v>411</v>
      </c>
      <c r="C41" s="181">
        <v>1401</v>
      </c>
      <c r="D41" s="180" t="s">
        <v>337</v>
      </c>
      <c r="E41" s="180" t="s">
        <v>348</v>
      </c>
      <c r="F41" s="180">
        <v>0</v>
      </c>
      <c r="G41" s="182" t="s">
        <v>349</v>
      </c>
      <c r="H41" s="180" t="s">
        <v>350</v>
      </c>
      <c r="I41" s="86"/>
      <c r="J41" s="182">
        <v>0</v>
      </c>
      <c r="K41" s="182">
        <v>1</v>
      </c>
      <c r="L41" s="182">
        <v>0</v>
      </c>
      <c r="M41" s="180">
        <v>0</v>
      </c>
      <c r="N41" s="180">
        <v>0</v>
      </c>
      <c r="O41" s="180">
        <v>1</v>
      </c>
    </row>
    <row r="42" spans="1:15" ht="27.6" x14ac:dyDescent="0.3">
      <c r="A42" s="86" t="s">
        <v>412</v>
      </c>
      <c r="B42" s="180" t="s">
        <v>413</v>
      </c>
      <c r="C42" s="181">
        <v>5904</v>
      </c>
      <c r="D42" s="180" t="s">
        <v>344</v>
      </c>
      <c r="E42" s="180" t="s">
        <v>323</v>
      </c>
      <c r="F42" s="180">
        <v>1</v>
      </c>
      <c r="G42" s="182" t="s">
        <v>374</v>
      </c>
      <c r="H42" s="183" t="s">
        <v>392</v>
      </c>
      <c r="I42" s="86"/>
      <c r="J42" s="182">
        <v>3</v>
      </c>
      <c r="K42" s="182">
        <v>1</v>
      </c>
      <c r="L42" s="182">
        <v>2</v>
      </c>
      <c r="M42" s="180">
        <v>0</v>
      </c>
      <c r="N42" s="180">
        <v>0</v>
      </c>
      <c r="O42" s="180">
        <v>0</v>
      </c>
    </row>
    <row r="43" spans="1:15" x14ac:dyDescent="0.3">
      <c r="A43" s="86" t="s">
        <v>414</v>
      </c>
      <c r="B43" s="180" t="s">
        <v>415</v>
      </c>
      <c r="C43" s="181">
        <v>5814</v>
      </c>
      <c r="D43" s="180" t="s">
        <v>347</v>
      </c>
      <c r="E43" s="180" t="s">
        <v>325</v>
      </c>
      <c r="F43" s="180">
        <v>1</v>
      </c>
      <c r="G43" s="182" t="s">
        <v>352</v>
      </c>
      <c r="H43" s="180" t="s">
        <v>353</v>
      </c>
      <c r="I43" s="86"/>
      <c r="J43" s="182">
        <v>3</v>
      </c>
      <c r="K43" s="182">
        <v>1</v>
      </c>
      <c r="L43" s="182">
        <v>2</v>
      </c>
      <c r="M43" s="180">
        <v>0</v>
      </c>
      <c r="N43" s="180">
        <v>1</v>
      </c>
      <c r="O43" s="180">
        <v>1</v>
      </c>
    </row>
    <row r="44" spans="1:15" ht="41.4" x14ac:dyDescent="0.3">
      <c r="A44" s="86" t="s">
        <v>416</v>
      </c>
      <c r="B44" s="180" t="s">
        <v>417</v>
      </c>
      <c r="C44" s="181">
        <v>1306</v>
      </c>
      <c r="D44" s="180" t="s">
        <v>337</v>
      </c>
      <c r="E44" s="180" t="s">
        <v>323</v>
      </c>
      <c r="F44" s="180">
        <v>0</v>
      </c>
      <c r="G44" s="182" t="s">
        <v>338</v>
      </c>
      <c r="H44" s="180" t="s">
        <v>339</v>
      </c>
      <c r="I44" s="86"/>
      <c r="J44" s="182">
        <v>3</v>
      </c>
      <c r="K44" s="182">
        <v>1</v>
      </c>
      <c r="L44" s="182">
        <v>0</v>
      </c>
      <c r="M44" s="180">
        <v>0</v>
      </c>
      <c r="N44" s="180">
        <v>0</v>
      </c>
      <c r="O44" s="180">
        <v>0</v>
      </c>
    </row>
    <row r="45" spans="1:15" ht="41.4" x14ac:dyDescent="0.3">
      <c r="A45" s="86" t="s">
        <v>418</v>
      </c>
      <c r="B45" s="180" t="s">
        <v>419</v>
      </c>
      <c r="C45" s="181">
        <v>684</v>
      </c>
      <c r="D45" s="180" t="s">
        <v>337</v>
      </c>
      <c r="E45" s="180" t="s">
        <v>323</v>
      </c>
      <c r="F45" s="180">
        <v>0</v>
      </c>
      <c r="G45" s="182" t="s">
        <v>338</v>
      </c>
      <c r="H45" s="180" t="s">
        <v>339</v>
      </c>
      <c r="I45" s="86"/>
      <c r="J45" s="182">
        <v>3</v>
      </c>
      <c r="K45" s="182">
        <v>1</v>
      </c>
      <c r="L45" s="182">
        <v>0</v>
      </c>
      <c r="M45" s="180">
        <v>0</v>
      </c>
      <c r="N45" s="180">
        <v>1</v>
      </c>
      <c r="O45" s="180">
        <v>0</v>
      </c>
    </row>
    <row r="46" spans="1:15" x14ac:dyDescent="0.3">
      <c r="A46" s="86" t="s">
        <v>420</v>
      </c>
      <c r="B46" s="180" t="s">
        <v>421</v>
      </c>
      <c r="C46" s="181">
        <v>5478</v>
      </c>
      <c r="D46" s="180" t="s">
        <v>347</v>
      </c>
      <c r="E46" s="180" t="s">
        <v>322</v>
      </c>
      <c r="F46" s="180">
        <v>1</v>
      </c>
      <c r="G46" s="182" t="s">
        <v>341</v>
      </c>
      <c r="H46" s="180" t="s">
        <v>342</v>
      </c>
      <c r="I46" s="86"/>
      <c r="J46" s="182">
        <v>3</v>
      </c>
      <c r="K46" s="182">
        <v>1</v>
      </c>
      <c r="L46" s="182">
        <v>2</v>
      </c>
      <c r="M46" s="180">
        <v>0</v>
      </c>
      <c r="N46" s="180">
        <v>0</v>
      </c>
      <c r="O46" s="180">
        <v>0</v>
      </c>
    </row>
    <row r="47" spans="1:15" x14ac:dyDescent="0.3">
      <c r="A47" s="86" t="s">
        <v>422</v>
      </c>
      <c r="B47" s="180" t="s">
        <v>423</v>
      </c>
      <c r="C47" s="181">
        <v>2244</v>
      </c>
      <c r="D47" s="180" t="s">
        <v>337</v>
      </c>
      <c r="E47" s="180" t="s">
        <v>323</v>
      </c>
      <c r="F47" s="180">
        <v>0</v>
      </c>
      <c r="G47" s="182" t="s">
        <v>341</v>
      </c>
      <c r="H47" s="180" t="s">
        <v>342</v>
      </c>
      <c r="I47" s="86"/>
      <c r="J47" s="182">
        <v>3</v>
      </c>
      <c r="K47" s="182">
        <v>1</v>
      </c>
      <c r="L47" s="182">
        <v>1</v>
      </c>
      <c r="M47" s="180">
        <v>0</v>
      </c>
      <c r="N47" s="180">
        <v>0</v>
      </c>
      <c r="O47" s="180">
        <v>0</v>
      </c>
    </row>
    <row r="48" spans="1:15" x14ac:dyDescent="0.3">
      <c r="A48" s="86" t="s">
        <v>424</v>
      </c>
      <c r="B48" s="180" t="s">
        <v>425</v>
      </c>
      <c r="C48" s="181">
        <v>790</v>
      </c>
      <c r="D48" s="180" t="s">
        <v>337</v>
      </c>
      <c r="E48" s="180" t="s">
        <v>322</v>
      </c>
      <c r="F48" s="180">
        <v>0</v>
      </c>
      <c r="G48" s="182" t="s">
        <v>341</v>
      </c>
      <c r="H48" s="180" t="s">
        <v>342</v>
      </c>
      <c r="I48" s="86"/>
      <c r="J48" s="182">
        <v>3</v>
      </c>
      <c r="K48" s="182">
        <v>1</v>
      </c>
      <c r="L48" s="182">
        <v>0</v>
      </c>
      <c r="M48" s="180">
        <v>0</v>
      </c>
      <c r="N48" s="180">
        <v>0</v>
      </c>
      <c r="O48" s="180">
        <v>0</v>
      </c>
    </row>
    <row r="49" spans="1:15" x14ac:dyDescent="0.3">
      <c r="A49" s="86" t="s">
        <v>426</v>
      </c>
      <c r="B49" s="180" t="s">
        <v>427</v>
      </c>
      <c r="C49" s="181">
        <v>1044</v>
      </c>
      <c r="D49" s="180" t="s">
        <v>337</v>
      </c>
      <c r="E49" s="180" t="s">
        <v>322</v>
      </c>
      <c r="F49" s="180">
        <v>0</v>
      </c>
      <c r="G49" s="182" t="s">
        <v>341</v>
      </c>
      <c r="H49" s="180" t="s">
        <v>342</v>
      </c>
      <c r="I49" s="86"/>
      <c r="J49" s="182">
        <v>3</v>
      </c>
      <c r="K49" s="182">
        <v>1</v>
      </c>
      <c r="L49" s="182">
        <v>0</v>
      </c>
      <c r="M49" s="180">
        <v>0</v>
      </c>
      <c r="N49" s="180">
        <v>0</v>
      </c>
      <c r="O49" s="180">
        <v>1</v>
      </c>
    </row>
    <row r="50" spans="1:15" ht="41.4" x14ac:dyDescent="0.3">
      <c r="A50" s="86" t="s">
        <v>428</v>
      </c>
      <c r="B50" s="180" t="s">
        <v>429</v>
      </c>
      <c r="C50" s="181">
        <v>7534</v>
      </c>
      <c r="D50" s="180" t="s">
        <v>347</v>
      </c>
      <c r="E50" s="180" t="s">
        <v>323</v>
      </c>
      <c r="F50" s="180">
        <v>1</v>
      </c>
      <c r="G50" s="182" t="s">
        <v>338</v>
      </c>
      <c r="H50" s="180" t="s">
        <v>339</v>
      </c>
      <c r="I50" s="86"/>
      <c r="J50" s="182">
        <v>3</v>
      </c>
      <c r="K50" s="182">
        <v>1</v>
      </c>
      <c r="L50" s="182">
        <v>2</v>
      </c>
      <c r="M50" s="180">
        <v>1</v>
      </c>
      <c r="N50" s="180">
        <v>0</v>
      </c>
      <c r="O50" s="180">
        <v>0</v>
      </c>
    </row>
    <row r="51" spans="1:15" x14ac:dyDescent="0.3">
      <c r="A51" s="86" t="s">
        <v>430</v>
      </c>
      <c r="B51" s="180" t="s">
        <v>431</v>
      </c>
      <c r="C51" s="181">
        <v>865</v>
      </c>
      <c r="D51" s="180" t="s">
        <v>337</v>
      </c>
      <c r="E51" s="180" t="s">
        <v>322</v>
      </c>
      <c r="F51" s="180">
        <v>0</v>
      </c>
      <c r="G51" s="182" t="s">
        <v>341</v>
      </c>
      <c r="H51" s="180" t="s">
        <v>342</v>
      </c>
      <c r="I51" s="86"/>
      <c r="J51" s="182">
        <v>3</v>
      </c>
      <c r="K51" s="182">
        <v>1</v>
      </c>
      <c r="L51" s="182">
        <v>0</v>
      </c>
      <c r="M51" s="180">
        <v>0</v>
      </c>
      <c r="N51" s="180">
        <v>0</v>
      </c>
      <c r="O51" s="180">
        <v>0</v>
      </c>
    </row>
    <row r="52" spans="1:15" x14ac:dyDescent="0.3">
      <c r="A52" s="86" t="s">
        <v>432</v>
      </c>
      <c r="B52" s="180" t="s">
        <v>433</v>
      </c>
      <c r="C52" s="181">
        <v>656</v>
      </c>
      <c r="D52" s="180" t="s">
        <v>337</v>
      </c>
      <c r="E52" s="180" t="s">
        <v>322</v>
      </c>
      <c r="F52" s="180">
        <v>0</v>
      </c>
      <c r="G52" s="182" t="s">
        <v>341</v>
      </c>
      <c r="H52" s="180" t="s">
        <v>342</v>
      </c>
      <c r="I52" s="86"/>
      <c r="J52" s="182">
        <v>3</v>
      </c>
      <c r="K52" s="182">
        <v>1</v>
      </c>
      <c r="L52" s="182">
        <v>0</v>
      </c>
      <c r="M52" s="180">
        <v>0</v>
      </c>
      <c r="N52" s="180">
        <v>0</v>
      </c>
      <c r="O52" s="180">
        <v>0</v>
      </c>
    </row>
    <row r="53" spans="1:15" x14ac:dyDescent="0.3">
      <c r="A53" s="86" t="s">
        <v>434</v>
      </c>
      <c r="B53" s="180" t="s">
        <v>435</v>
      </c>
      <c r="C53" s="181">
        <v>662</v>
      </c>
      <c r="D53" s="180" t="s">
        <v>337</v>
      </c>
      <c r="E53" s="180" t="s">
        <v>322</v>
      </c>
      <c r="F53" s="180">
        <v>0</v>
      </c>
      <c r="G53" s="182" t="s">
        <v>341</v>
      </c>
      <c r="H53" s="180" t="s">
        <v>342</v>
      </c>
      <c r="I53" s="86"/>
      <c r="J53" s="182">
        <v>3</v>
      </c>
      <c r="K53" s="182">
        <v>1</v>
      </c>
      <c r="L53" s="182">
        <v>0</v>
      </c>
      <c r="M53" s="180">
        <v>0</v>
      </c>
      <c r="N53" s="180">
        <v>0</v>
      </c>
      <c r="O53" s="180">
        <v>0</v>
      </c>
    </row>
    <row r="54" spans="1:15" ht="27.6" x14ac:dyDescent="0.3">
      <c r="A54" s="86" t="s">
        <v>436</v>
      </c>
      <c r="B54" s="180" t="s">
        <v>437</v>
      </c>
      <c r="C54" s="181">
        <v>5119</v>
      </c>
      <c r="D54" s="180" t="s">
        <v>337</v>
      </c>
      <c r="E54" s="180" t="s">
        <v>323</v>
      </c>
      <c r="F54" s="180">
        <v>1</v>
      </c>
      <c r="G54" s="182" t="s">
        <v>374</v>
      </c>
      <c r="H54" s="180" t="s">
        <v>392</v>
      </c>
      <c r="I54" s="86"/>
      <c r="J54" s="182">
        <v>3</v>
      </c>
      <c r="K54" s="182">
        <v>1</v>
      </c>
      <c r="L54" s="182">
        <v>2</v>
      </c>
      <c r="M54" s="180">
        <v>1</v>
      </c>
      <c r="N54" s="180">
        <v>1</v>
      </c>
      <c r="O54" s="180">
        <v>1</v>
      </c>
    </row>
    <row r="55" spans="1:15" ht="27.6" x14ac:dyDescent="0.3">
      <c r="A55" s="86" t="s">
        <v>438</v>
      </c>
      <c r="B55" s="180" t="s">
        <v>439</v>
      </c>
      <c r="C55" s="181">
        <v>2181</v>
      </c>
      <c r="D55" s="180" t="s">
        <v>337</v>
      </c>
      <c r="E55" s="180" t="s">
        <v>323</v>
      </c>
      <c r="F55" s="180">
        <v>0</v>
      </c>
      <c r="G55" s="182" t="s">
        <v>374</v>
      </c>
      <c r="H55" s="184" t="s">
        <v>392</v>
      </c>
      <c r="I55" s="86"/>
      <c r="J55" s="182">
        <v>3</v>
      </c>
      <c r="K55" s="182">
        <v>1</v>
      </c>
      <c r="L55" s="182">
        <v>1</v>
      </c>
      <c r="M55" s="180">
        <v>0</v>
      </c>
      <c r="N55" s="180">
        <v>0</v>
      </c>
      <c r="O55" s="180">
        <v>0</v>
      </c>
    </row>
    <row r="56" spans="1:15" ht="96.6" x14ac:dyDescent="0.3">
      <c r="A56" s="86" t="s">
        <v>440</v>
      </c>
      <c r="B56" s="180" t="s">
        <v>441</v>
      </c>
      <c r="C56" s="181">
        <v>8727</v>
      </c>
      <c r="D56" s="180" t="s">
        <v>347</v>
      </c>
      <c r="E56" s="180" t="s">
        <v>377</v>
      </c>
      <c r="F56" s="180">
        <v>1</v>
      </c>
      <c r="G56" s="182" t="s">
        <v>349</v>
      </c>
      <c r="H56" s="180" t="s">
        <v>350</v>
      </c>
      <c r="I56" s="86"/>
      <c r="J56" s="182">
        <v>0</v>
      </c>
      <c r="K56" s="182">
        <v>1</v>
      </c>
      <c r="L56" s="182">
        <v>2</v>
      </c>
      <c r="M56" s="180">
        <v>0</v>
      </c>
      <c r="N56" s="180">
        <v>0</v>
      </c>
      <c r="O56" s="180">
        <v>0</v>
      </c>
    </row>
    <row r="57" spans="1:15" ht="27.6" x14ac:dyDescent="0.3">
      <c r="A57" s="86" t="s">
        <v>442</v>
      </c>
      <c r="B57" s="180" t="s">
        <v>443</v>
      </c>
      <c r="C57" s="181">
        <v>2888</v>
      </c>
      <c r="D57" s="180" t="s">
        <v>337</v>
      </c>
      <c r="E57" s="180" t="s">
        <v>377</v>
      </c>
      <c r="F57" s="180">
        <v>0</v>
      </c>
      <c r="G57" s="182" t="s">
        <v>374</v>
      </c>
      <c r="H57" s="183" t="s">
        <v>392</v>
      </c>
      <c r="I57" s="86"/>
      <c r="J57" s="182">
        <v>0</v>
      </c>
      <c r="K57" s="182">
        <v>0</v>
      </c>
      <c r="L57" s="182">
        <v>1</v>
      </c>
      <c r="M57" s="180">
        <v>1</v>
      </c>
      <c r="N57" s="180">
        <v>1</v>
      </c>
      <c r="O57" s="180">
        <v>1</v>
      </c>
    </row>
    <row r="58" spans="1:15" x14ac:dyDescent="0.3">
      <c r="A58" s="86" t="s">
        <v>444</v>
      </c>
      <c r="B58" s="180" t="s">
        <v>445</v>
      </c>
      <c r="C58" s="181">
        <v>1409</v>
      </c>
      <c r="D58" s="180" t="s">
        <v>337</v>
      </c>
      <c r="E58" s="180" t="s">
        <v>322</v>
      </c>
      <c r="F58" s="180">
        <v>0</v>
      </c>
      <c r="G58" s="182" t="s">
        <v>341</v>
      </c>
      <c r="H58" s="180" t="s">
        <v>342</v>
      </c>
      <c r="I58" s="86"/>
      <c r="J58" s="182">
        <v>3</v>
      </c>
      <c r="K58" s="182">
        <v>1</v>
      </c>
      <c r="L58" s="182">
        <v>0</v>
      </c>
      <c r="M58" s="180">
        <v>0</v>
      </c>
      <c r="N58" s="180">
        <v>0</v>
      </c>
      <c r="O58" s="180">
        <v>0</v>
      </c>
    </row>
    <row r="59" spans="1:15" x14ac:dyDescent="0.3">
      <c r="A59" s="86" t="s">
        <v>446</v>
      </c>
      <c r="B59" s="180" t="s">
        <v>447</v>
      </c>
      <c r="C59" s="181">
        <v>2059</v>
      </c>
      <c r="D59" s="180" t="s">
        <v>344</v>
      </c>
      <c r="E59" s="180" t="s">
        <v>325</v>
      </c>
      <c r="F59" s="180">
        <v>0</v>
      </c>
      <c r="G59" s="182" t="s">
        <v>352</v>
      </c>
      <c r="H59" s="180" t="s">
        <v>353</v>
      </c>
      <c r="I59" s="86"/>
      <c r="J59" s="182">
        <v>3</v>
      </c>
      <c r="K59" s="182">
        <v>1</v>
      </c>
      <c r="L59" s="182">
        <v>1</v>
      </c>
      <c r="M59" s="180">
        <v>0</v>
      </c>
      <c r="N59" s="180">
        <v>1</v>
      </c>
      <c r="O59" s="180">
        <v>0</v>
      </c>
    </row>
    <row r="60" spans="1:15" ht="41.4" x14ac:dyDescent="0.3">
      <c r="A60" s="86" t="s">
        <v>448</v>
      </c>
      <c r="B60" s="180" t="s">
        <v>449</v>
      </c>
      <c r="C60" s="181">
        <v>3882</v>
      </c>
      <c r="D60" s="180" t="s">
        <v>344</v>
      </c>
      <c r="E60" s="180" t="s">
        <v>324</v>
      </c>
      <c r="F60" s="180">
        <v>0</v>
      </c>
      <c r="G60" s="182" t="s">
        <v>338</v>
      </c>
      <c r="H60" s="180" t="s">
        <v>339</v>
      </c>
      <c r="I60" s="86"/>
      <c r="J60" s="182">
        <v>3</v>
      </c>
      <c r="K60" s="182">
        <v>1</v>
      </c>
      <c r="L60" s="182">
        <v>1</v>
      </c>
      <c r="M60" s="180">
        <v>0</v>
      </c>
      <c r="N60" s="180">
        <v>0</v>
      </c>
      <c r="O60" s="180">
        <v>0</v>
      </c>
    </row>
    <row r="61" spans="1:15" ht="41.4" x14ac:dyDescent="0.3">
      <c r="A61" s="86" t="s">
        <v>450</v>
      </c>
      <c r="B61" s="180" t="s">
        <v>451</v>
      </c>
      <c r="C61" s="181">
        <v>3764</v>
      </c>
      <c r="D61" s="180" t="s">
        <v>337</v>
      </c>
      <c r="E61" s="180" t="s">
        <v>324</v>
      </c>
      <c r="F61" s="180">
        <v>0</v>
      </c>
      <c r="G61" s="182" t="s">
        <v>338</v>
      </c>
      <c r="H61" s="180" t="s">
        <v>339</v>
      </c>
      <c r="I61" s="86"/>
      <c r="J61" s="182">
        <v>3</v>
      </c>
      <c r="K61" s="182">
        <v>1</v>
      </c>
      <c r="L61" s="182">
        <v>1</v>
      </c>
      <c r="M61" s="180">
        <v>1</v>
      </c>
      <c r="N61" s="180">
        <v>0</v>
      </c>
      <c r="O61" s="180">
        <v>0</v>
      </c>
    </row>
    <row r="62" spans="1:15" ht="41.4" x14ac:dyDescent="0.3">
      <c r="A62" s="86" t="s">
        <v>452</v>
      </c>
      <c r="B62" s="180" t="s">
        <v>453</v>
      </c>
      <c r="C62" s="181">
        <v>7824</v>
      </c>
      <c r="D62" s="180" t="s">
        <v>347</v>
      </c>
      <c r="E62" s="180" t="s">
        <v>324</v>
      </c>
      <c r="F62" s="180">
        <v>1</v>
      </c>
      <c r="G62" s="182" t="s">
        <v>338</v>
      </c>
      <c r="H62" s="180" t="s">
        <v>339</v>
      </c>
      <c r="I62" s="86"/>
      <c r="J62" s="182">
        <v>3</v>
      </c>
      <c r="K62" s="182">
        <v>1</v>
      </c>
      <c r="L62" s="182">
        <v>2</v>
      </c>
      <c r="M62" s="180">
        <v>0</v>
      </c>
      <c r="N62" s="180">
        <v>0</v>
      </c>
      <c r="O62" s="180">
        <v>0</v>
      </c>
    </row>
    <row r="63" spans="1:15" ht="41.4" x14ac:dyDescent="0.3">
      <c r="A63" s="86" t="s">
        <v>454</v>
      </c>
      <c r="B63" s="180" t="s">
        <v>455</v>
      </c>
      <c r="C63" s="181">
        <v>1996</v>
      </c>
      <c r="D63" s="180" t="s">
        <v>337</v>
      </c>
      <c r="E63" s="180" t="s">
        <v>324</v>
      </c>
      <c r="F63" s="180">
        <v>0</v>
      </c>
      <c r="G63" s="182" t="s">
        <v>338</v>
      </c>
      <c r="H63" s="180" t="s">
        <v>339</v>
      </c>
      <c r="I63" s="86"/>
      <c r="J63" s="182">
        <v>3</v>
      </c>
      <c r="K63" s="182">
        <v>1</v>
      </c>
      <c r="L63" s="182">
        <v>0</v>
      </c>
      <c r="M63" s="180">
        <v>0</v>
      </c>
      <c r="N63" s="180">
        <v>0</v>
      </c>
      <c r="O63" s="180">
        <v>0</v>
      </c>
    </row>
    <row r="64" spans="1:15" ht="41.4" x14ac:dyDescent="0.3">
      <c r="A64" s="86" t="s">
        <v>456</v>
      </c>
      <c r="B64" s="180" t="s">
        <v>457</v>
      </c>
      <c r="C64" s="181">
        <v>2776</v>
      </c>
      <c r="D64" s="180" t="s">
        <v>344</v>
      </c>
      <c r="E64" s="180" t="s">
        <v>323</v>
      </c>
      <c r="F64" s="180">
        <v>0</v>
      </c>
      <c r="G64" s="182" t="s">
        <v>338</v>
      </c>
      <c r="H64" s="180" t="s">
        <v>339</v>
      </c>
      <c r="I64" s="86"/>
      <c r="J64" s="182">
        <v>3</v>
      </c>
      <c r="K64" s="182">
        <v>1</v>
      </c>
      <c r="L64" s="182">
        <v>1</v>
      </c>
      <c r="M64" s="180">
        <v>0</v>
      </c>
      <c r="N64" s="180">
        <v>0</v>
      </c>
      <c r="O64" s="180">
        <v>0</v>
      </c>
    </row>
    <row r="65" spans="1:15" ht="41.4" x14ac:dyDescent="0.3">
      <c r="A65" s="86" t="s">
        <v>458</v>
      </c>
      <c r="B65" s="180" t="s">
        <v>459</v>
      </c>
      <c r="C65" s="181">
        <v>8168</v>
      </c>
      <c r="D65" s="180" t="s">
        <v>347</v>
      </c>
      <c r="E65" s="180" t="s">
        <v>381</v>
      </c>
      <c r="F65" s="180">
        <v>1</v>
      </c>
      <c r="G65" s="182" t="s">
        <v>388</v>
      </c>
      <c r="H65" s="180" t="s">
        <v>389</v>
      </c>
      <c r="I65" s="86"/>
      <c r="J65" s="182">
        <v>0</v>
      </c>
      <c r="K65" s="182">
        <v>0</v>
      </c>
      <c r="L65" s="182">
        <v>2</v>
      </c>
      <c r="M65" s="180">
        <v>1</v>
      </c>
      <c r="N65" s="180">
        <v>0</v>
      </c>
      <c r="O65" s="180">
        <v>1</v>
      </c>
    </row>
    <row r="66" spans="1:15" x14ac:dyDescent="0.3">
      <c r="A66" s="86" t="s">
        <v>460</v>
      </c>
      <c r="B66" s="180" t="s">
        <v>461</v>
      </c>
      <c r="C66" s="181">
        <v>14286</v>
      </c>
      <c r="D66" s="180" t="s">
        <v>347</v>
      </c>
      <c r="E66" s="180" t="s">
        <v>325</v>
      </c>
      <c r="F66" s="180">
        <v>1</v>
      </c>
      <c r="G66" s="182" t="s">
        <v>352</v>
      </c>
      <c r="H66" s="180" t="s">
        <v>353</v>
      </c>
      <c r="I66" s="86"/>
      <c r="J66" s="182">
        <v>3</v>
      </c>
      <c r="K66" s="182">
        <v>1</v>
      </c>
      <c r="L66" s="182">
        <v>3</v>
      </c>
      <c r="M66" s="180">
        <v>0</v>
      </c>
      <c r="N66" s="180">
        <v>1</v>
      </c>
      <c r="O66" s="180">
        <v>1</v>
      </c>
    </row>
    <row r="67" spans="1:15" x14ac:dyDescent="0.3">
      <c r="A67" s="86" t="s">
        <v>462</v>
      </c>
      <c r="B67" s="180" t="s">
        <v>463</v>
      </c>
      <c r="C67" s="181">
        <v>939</v>
      </c>
      <c r="D67" s="180" t="s">
        <v>337</v>
      </c>
      <c r="E67" s="180" t="s">
        <v>325</v>
      </c>
      <c r="F67" s="180">
        <v>0</v>
      </c>
      <c r="G67" s="182" t="s">
        <v>352</v>
      </c>
      <c r="H67" s="180" t="s">
        <v>353</v>
      </c>
      <c r="I67" s="86"/>
      <c r="J67" s="182">
        <v>3</v>
      </c>
      <c r="K67" s="182">
        <v>1</v>
      </c>
      <c r="L67" s="182">
        <v>0</v>
      </c>
      <c r="M67" s="180">
        <v>0</v>
      </c>
      <c r="N67" s="180">
        <v>0</v>
      </c>
      <c r="O67" s="180">
        <v>0</v>
      </c>
    </row>
    <row r="68" spans="1:15" ht="27.6" x14ac:dyDescent="0.3">
      <c r="A68" s="86" t="s">
        <v>464</v>
      </c>
      <c r="B68" s="180" t="s">
        <v>465</v>
      </c>
      <c r="C68" s="181">
        <v>2387</v>
      </c>
      <c r="D68" s="180" t="s">
        <v>337</v>
      </c>
      <c r="E68" s="180" t="s">
        <v>323</v>
      </c>
      <c r="F68" s="180">
        <v>0</v>
      </c>
      <c r="G68" s="182" t="s">
        <v>374</v>
      </c>
      <c r="H68" s="180" t="s">
        <v>392</v>
      </c>
      <c r="I68" s="86"/>
      <c r="J68" s="182">
        <v>3</v>
      </c>
      <c r="K68" s="182">
        <v>1</v>
      </c>
      <c r="L68" s="182">
        <v>1</v>
      </c>
      <c r="M68" s="180">
        <v>0</v>
      </c>
      <c r="N68" s="180">
        <v>1</v>
      </c>
      <c r="O68" s="180">
        <v>1</v>
      </c>
    </row>
    <row r="69" spans="1:15" x14ac:dyDescent="0.3">
      <c r="A69" s="86" t="s">
        <v>466</v>
      </c>
      <c r="B69" s="180" t="s">
        <v>467</v>
      </c>
      <c r="C69" s="181">
        <v>2950</v>
      </c>
      <c r="D69" s="180" t="s">
        <v>344</v>
      </c>
      <c r="E69" s="180" t="s">
        <v>325</v>
      </c>
      <c r="F69" s="180">
        <v>0</v>
      </c>
      <c r="G69" s="182" t="s">
        <v>352</v>
      </c>
      <c r="H69" s="180" t="s">
        <v>353</v>
      </c>
      <c r="I69" s="86"/>
      <c r="J69" s="182">
        <v>3</v>
      </c>
      <c r="K69" s="182">
        <v>1</v>
      </c>
      <c r="L69" s="182">
        <v>1</v>
      </c>
      <c r="M69" s="180">
        <v>0</v>
      </c>
      <c r="N69" s="180">
        <v>1</v>
      </c>
      <c r="O69" s="180">
        <v>0</v>
      </c>
    </row>
    <row r="70" spans="1:15" x14ac:dyDescent="0.3">
      <c r="A70" s="86" t="s">
        <v>468</v>
      </c>
      <c r="B70" s="180" t="s">
        <v>469</v>
      </c>
      <c r="C70" s="181">
        <v>1117</v>
      </c>
      <c r="D70" s="180" t="s">
        <v>337</v>
      </c>
      <c r="E70" s="180" t="s">
        <v>322</v>
      </c>
      <c r="F70" s="180">
        <v>0</v>
      </c>
      <c r="G70" s="182" t="s">
        <v>341</v>
      </c>
      <c r="H70" s="180" t="s">
        <v>342</v>
      </c>
      <c r="I70" s="86"/>
      <c r="J70" s="182">
        <v>3</v>
      </c>
      <c r="K70" s="182">
        <v>1</v>
      </c>
      <c r="L70" s="182">
        <v>0</v>
      </c>
      <c r="M70" s="180">
        <v>0</v>
      </c>
      <c r="N70" s="180">
        <v>0</v>
      </c>
      <c r="O70" s="180">
        <v>1</v>
      </c>
    </row>
    <row r="71" spans="1:15" x14ac:dyDescent="0.3">
      <c r="A71" s="86" t="s">
        <v>470</v>
      </c>
      <c r="B71" s="180" t="s">
        <v>471</v>
      </c>
      <c r="C71" s="181">
        <v>1542</v>
      </c>
      <c r="D71" s="180" t="s">
        <v>337</v>
      </c>
      <c r="E71" s="180" t="s">
        <v>325</v>
      </c>
      <c r="F71" s="180">
        <v>0</v>
      </c>
      <c r="G71" s="182" t="s">
        <v>352</v>
      </c>
      <c r="H71" s="180" t="s">
        <v>353</v>
      </c>
      <c r="I71" s="86"/>
      <c r="J71" s="182">
        <v>3</v>
      </c>
      <c r="K71" s="182">
        <v>1</v>
      </c>
      <c r="L71" s="182">
        <v>0</v>
      </c>
      <c r="M71" s="180">
        <v>0</v>
      </c>
      <c r="N71" s="180">
        <v>0</v>
      </c>
      <c r="O71" s="180">
        <v>0</v>
      </c>
    </row>
    <row r="72" spans="1:15" ht="41.4" x14ac:dyDescent="0.3">
      <c r="A72" s="86" t="s">
        <v>472</v>
      </c>
      <c r="B72" s="180" t="s">
        <v>473</v>
      </c>
      <c r="C72" s="181">
        <v>6442</v>
      </c>
      <c r="D72" s="180" t="s">
        <v>347</v>
      </c>
      <c r="E72" s="180" t="s">
        <v>362</v>
      </c>
      <c r="F72" s="180">
        <v>1</v>
      </c>
      <c r="G72" s="182" t="s">
        <v>363</v>
      </c>
      <c r="H72" s="180" t="s">
        <v>364</v>
      </c>
      <c r="I72" s="86"/>
      <c r="J72" s="182">
        <v>0</v>
      </c>
      <c r="K72" s="182">
        <v>1</v>
      </c>
      <c r="L72" s="182">
        <v>2</v>
      </c>
      <c r="M72" s="180">
        <v>0</v>
      </c>
      <c r="N72" s="180">
        <v>0</v>
      </c>
      <c r="O72" s="180">
        <v>1</v>
      </c>
    </row>
    <row r="73" spans="1:15" x14ac:dyDescent="0.3">
      <c r="A73" s="86" t="s">
        <v>474</v>
      </c>
      <c r="B73" s="180" t="s">
        <v>475</v>
      </c>
      <c r="C73" s="181">
        <v>1073</v>
      </c>
      <c r="D73" s="180" t="s">
        <v>337</v>
      </c>
      <c r="E73" s="180" t="s">
        <v>323</v>
      </c>
      <c r="F73" s="180">
        <v>0</v>
      </c>
      <c r="G73" s="182" t="s">
        <v>341</v>
      </c>
      <c r="H73" s="180" t="s">
        <v>342</v>
      </c>
      <c r="I73" s="86"/>
      <c r="J73" s="182">
        <v>3</v>
      </c>
      <c r="K73" s="182">
        <v>1</v>
      </c>
      <c r="L73" s="182">
        <v>0</v>
      </c>
      <c r="M73" s="180">
        <v>0</v>
      </c>
      <c r="N73" s="180">
        <v>1</v>
      </c>
      <c r="O73" s="180">
        <v>0</v>
      </c>
    </row>
    <row r="74" spans="1:15" x14ac:dyDescent="0.3">
      <c r="A74" s="86" t="s">
        <v>476</v>
      </c>
      <c r="B74" s="180" t="s">
        <v>477</v>
      </c>
      <c r="C74" s="181">
        <v>1356</v>
      </c>
      <c r="D74" s="180" t="s">
        <v>337</v>
      </c>
      <c r="E74" s="180" t="s">
        <v>325</v>
      </c>
      <c r="F74" s="180">
        <v>0</v>
      </c>
      <c r="G74" s="182" t="s">
        <v>352</v>
      </c>
      <c r="H74" s="180" t="s">
        <v>353</v>
      </c>
      <c r="I74" s="86"/>
      <c r="J74" s="182">
        <v>3</v>
      </c>
      <c r="K74" s="182">
        <v>1</v>
      </c>
      <c r="L74" s="182">
        <v>0</v>
      </c>
      <c r="M74" s="180">
        <v>0</v>
      </c>
      <c r="N74" s="180">
        <v>0</v>
      </c>
      <c r="O74" s="180">
        <v>0</v>
      </c>
    </row>
    <row r="75" spans="1:15" ht="96.6" x14ac:dyDescent="0.3">
      <c r="A75" s="86" t="s">
        <v>478</v>
      </c>
      <c r="B75" s="180" t="s">
        <v>479</v>
      </c>
      <c r="C75" s="181">
        <v>4629</v>
      </c>
      <c r="D75" s="180" t="s">
        <v>347</v>
      </c>
      <c r="E75" s="180" t="s">
        <v>348</v>
      </c>
      <c r="F75" s="180">
        <v>0</v>
      </c>
      <c r="G75" s="182" t="s">
        <v>349</v>
      </c>
      <c r="H75" s="180" t="s">
        <v>350</v>
      </c>
      <c r="I75" s="86"/>
      <c r="J75" s="182">
        <v>0</v>
      </c>
      <c r="K75" s="182">
        <v>1</v>
      </c>
      <c r="L75" s="182">
        <v>1</v>
      </c>
      <c r="M75" s="180">
        <v>0</v>
      </c>
      <c r="N75" s="180">
        <v>0</v>
      </c>
      <c r="O75" s="180">
        <v>0</v>
      </c>
    </row>
    <row r="76" spans="1:15" ht="41.4" x14ac:dyDescent="0.3">
      <c r="A76" s="86" t="s">
        <v>480</v>
      </c>
      <c r="B76" s="180" t="s">
        <v>481</v>
      </c>
      <c r="C76" s="181">
        <v>719</v>
      </c>
      <c r="D76" s="180" t="s">
        <v>337</v>
      </c>
      <c r="E76" s="180" t="s">
        <v>381</v>
      </c>
      <c r="F76" s="180">
        <v>0</v>
      </c>
      <c r="G76" s="182" t="s">
        <v>388</v>
      </c>
      <c r="H76" s="183" t="s">
        <v>389</v>
      </c>
      <c r="I76" s="86"/>
      <c r="J76" s="182">
        <v>0</v>
      </c>
      <c r="K76" s="182">
        <v>0</v>
      </c>
      <c r="L76" s="182">
        <v>0</v>
      </c>
      <c r="M76" s="180">
        <v>0</v>
      </c>
      <c r="N76" s="180">
        <v>1</v>
      </c>
      <c r="O76" s="180">
        <v>0</v>
      </c>
    </row>
    <row r="77" spans="1:15" x14ac:dyDescent="0.3">
      <c r="A77" s="86" t="s">
        <v>482</v>
      </c>
      <c r="B77" s="180" t="s">
        <v>483</v>
      </c>
      <c r="C77" s="181">
        <v>395</v>
      </c>
      <c r="D77" s="180" t="s">
        <v>337</v>
      </c>
      <c r="E77" s="180" t="s">
        <v>322</v>
      </c>
      <c r="F77" s="180">
        <v>0</v>
      </c>
      <c r="G77" s="182" t="s">
        <v>341</v>
      </c>
      <c r="H77" s="180" t="s">
        <v>342</v>
      </c>
      <c r="I77" s="86"/>
      <c r="J77" s="182">
        <v>3</v>
      </c>
      <c r="K77" s="182">
        <v>1</v>
      </c>
      <c r="L77" s="182">
        <v>0</v>
      </c>
      <c r="M77" s="180">
        <v>0</v>
      </c>
      <c r="N77" s="180">
        <v>0</v>
      </c>
      <c r="O77" s="180">
        <v>0</v>
      </c>
    </row>
    <row r="78" spans="1:15" x14ac:dyDescent="0.3">
      <c r="A78" s="86" t="s">
        <v>484</v>
      </c>
      <c r="B78" s="180" t="s">
        <v>485</v>
      </c>
      <c r="C78" s="181">
        <v>508</v>
      </c>
      <c r="D78" s="180" t="s">
        <v>337</v>
      </c>
      <c r="E78" s="180" t="s">
        <v>322</v>
      </c>
      <c r="F78" s="180">
        <v>0</v>
      </c>
      <c r="G78" s="182" t="s">
        <v>341</v>
      </c>
      <c r="H78" s="180" t="s">
        <v>342</v>
      </c>
      <c r="I78" s="86"/>
      <c r="J78" s="182">
        <v>3</v>
      </c>
      <c r="K78" s="182">
        <v>1</v>
      </c>
      <c r="L78" s="182">
        <v>0</v>
      </c>
      <c r="M78" s="180">
        <v>0</v>
      </c>
      <c r="N78" s="180">
        <v>0</v>
      </c>
      <c r="O78" s="180">
        <v>0</v>
      </c>
    </row>
    <row r="79" spans="1:15" ht="41.4" x14ac:dyDescent="0.3">
      <c r="A79" s="86" t="s">
        <v>486</v>
      </c>
      <c r="B79" s="180" t="s">
        <v>487</v>
      </c>
      <c r="C79" s="181">
        <v>1150</v>
      </c>
      <c r="D79" s="180" t="s">
        <v>337</v>
      </c>
      <c r="E79" s="180" t="s">
        <v>324</v>
      </c>
      <c r="F79" s="180">
        <v>0</v>
      </c>
      <c r="G79" s="182" t="s">
        <v>338</v>
      </c>
      <c r="H79" s="180" t="s">
        <v>339</v>
      </c>
      <c r="I79" s="86"/>
      <c r="J79" s="182">
        <v>3</v>
      </c>
      <c r="K79" s="182">
        <v>1</v>
      </c>
      <c r="L79" s="182">
        <v>0</v>
      </c>
      <c r="M79" s="180">
        <v>0</v>
      </c>
      <c r="N79" s="180">
        <v>0</v>
      </c>
      <c r="O79" s="180">
        <v>0</v>
      </c>
    </row>
    <row r="80" spans="1:15" ht="96.6" x14ac:dyDescent="0.3">
      <c r="A80" s="86" t="s">
        <v>488</v>
      </c>
      <c r="B80" s="180" t="s">
        <v>489</v>
      </c>
      <c r="C80" s="181">
        <v>1451</v>
      </c>
      <c r="D80" s="180" t="s">
        <v>337</v>
      </c>
      <c r="E80" s="180" t="s">
        <v>348</v>
      </c>
      <c r="F80" s="180">
        <v>0</v>
      </c>
      <c r="G80" s="182" t="s">
        <v>349</v>
      </c>
      <c r="H80" s="180" t="s">
        <v>350</v>
      </c>
      <c r="I80" s="86"/>
      <c r="J80" s="182">
        <v>0</v>
      </c>
      <c r="K80" s="182">
        <v>0</v>
      </c>
      <c r="L80" s="182">
        <v>0</v>
      </c>
      <c r="M80" s="180">
        <v>0</v>
      </c>
      <c r="N80" s="180">
        <v>0</v>
      </c>
      <c r="O80" s="180">
        <v>0</v>
      </c>
    </row>
    <row r="81" spans="1:15" ht="41.4" x14ac:dyDescent="0.3">
      <c r="A81" s="86" t="s">
        <v>490</v>
      </c>
      <c r="B81" s="180" t="s">
        <v>491</v>
      </c>
      <c r="C81" s="181">
        <v>862</v>
      </c>
      <c r="D81" s="180" t="s">
        <v>337</v>
      </c>
      <c r="E81" s="180" t="s">
        <v>381</v>
      </c>
      <c r="F81" s="180">
        <v>0</v>
      </c>
      <c r="G81" s="182" t="s">
        <v>388</v>
      </c>
      <c r="H81" s="183" t="s">
        <v>389</v>
      </c>
      <c r="I81" s="86"/>
      <c r="J81" s="182">
        <v>0</v>
      </c>
      <c r="K81" s="182">
        <v>0</v>
      </c>
      <c r="L81" s="182">
        <v>0</v>
      </c>
      <c r="M81" s="180">
        <v>0</v>
      </c>
      <c r="N81" s="180">
        <v>1</v>
      </c>
      <c r="O81" s="180">
        <v>0</v>
      </c>
    </row>
    <row r="82" spans="1:15" ht="41.4" x14ac:dyDescent="0.3">
      <c r="A82" s="86" t="s">
        <v>492</v>
      </c>
      <c r="B82" s="180" t="s">
        <v>493</v>
      </c>
      <c r="C82" s="181">
        <v>5517</v>
      </c>
      <c r="D82" s="180" t="s">
        <v>347</v>
      </c>
      <c r="E82" s="180" t="s">
        <v>324</v>
      </c>
      <c r="F82" s="180">
        <v>1</v>
      </c>
      <c r="G82" s="182" t="s">
        <v>338</v>
      </c>
      <c r="H82" s="180" t="s">
        <v>339</v>
      </c>
      <c r="I82" s="86"/>
      <c r="J82" s="182">
        <v>3</v>
      </c>
      <c r="K82" s="182">
        <v>1</v>
      </c>
      <c r="L82" s="182">
        <v>2</v>
      </c>
      <c r="M82" s="180">
        <v>0</v>
      </c>
      <c r="N82" s="180">
        <v>0</v>
      </c>
      <c r="O82" s="180">
        <v>0</v>
      </c>
    </row>
    <row r="83" spans="1:15" x14ac:dyDescent="0.3">
      <c r="A83" s="86" t="s">
        <v>494</v>
      </c>
      <c r="B83" s="180" t="s">
        <v>495</v>
      </c>
      <c r="C83" s="181">
        <v>1180</v>
      </c>
      <c r="D83" s="180" t="s">
        <v>337</v>
      </c>
      <c r="E83" s="180" t="s">
        <v>322</v>
      </c>
      <c r="F83" s="180">
        <v>0</v>
      </c>
      <c r="G83" s="182" t="s">
        <v>341</v>
      </c>
      <c r="H83" s="180" t="s">
        <v>342</v>
      </c>
      <c r="I83" s="86"/>
      <c r="J83" s="182">
        <v>3</v>
      </c>
      <c r="K83" s="182">
        <v>1</v>
      </c>
      <c r="L83" s="182">
        <v>0</v>
      </c>
      <c r="M83" s="180">
        <v>0</v>
      </c>
      <c r="N83" s="180">
        <v>0</v>
      </c>
      <c r="O83" s="180">
        <v>0</v>
      </c>
    </row>
    <row r="84" spans="1:15" x14ac:dyDescent="0.3">
      <c r="A84" s="86" t="s">
        <v>496</v>
      </c>
      <c r="B84" s="180" t="s">
        <v>497</v>
      </c>
      <c r="C84" s="181">
        <v>120</v>
      </c>
      <c r="D84" s="180" t="s">
        <v>337</v>
      </c>
      <c r="E84" s="180" t="s">
        <v>322</v>
      </c>
      <c r="F84" s="180">
        <v>0</v>
      </c>
      <c r="G84" s="182" t="s">
        <v>341</v>
      </c>
      <c r="H84" s="180" t="s">
        <v>342</v>
      </c>
      <c r="I84" s="86"/>
      <c r="J84" s="182">
        <v>3</v>
      </c>
      <c r="K84" s="182">
        <v>1</v>
      </c>
      <c r="L84" s="182">
        <v>0</v>
      </c>
      <c r="M84" s="180">
        <v>0</v>
      </c>
      <c r="N84" s="180">
        <v>0</v>
      </c>
      <c r="O84" s="180">
        <v>0</v>
      </c>
    </row>
    <row r="85" spans="1:15" x14ac:dyDescent="0.3">
      <c r="A85" s="86" t="s">
        <v>498</v>
      </c>
      <c r="B85" s="180" t="s">
        <v>499</v>
      </c>
      <c r="C85" s="181">
        <v>1571</v>
      </c>
      <c r="D85" s="180" t="s">
        <v>344</v>
      </c>
      <c r="E85" s="180" t="s">
        <v>322</v>
      </c>
      <c r="F85" s="180">
        <v>0</v>
      </c>
      <c r="G85" s="182" t="s">
        <v>341</v>
      </c>
      <c r="H85" s="180" t="s">
        <v>342</v>
      </c>
      <c r="I85" s="86"/>
      <c r="J85" s="182">
        <v>3</v>
      </c>
      <c r="K85" s="182">
        <v>1</v>
      </c>
      <c r="L85" s="182">
        <v>0</v>
      </c>
      <c r="M85" s="180">
        <v>0</v>
      </c>
      <c r="N85" s="180">
        <v>0</v>
      </c>
      <c r="O85" s="180">
        <v>0</v>
      </c>
    </row>
    <row r="86" spans="1:15" x14ac:dyDescent="0.3">
      <c r="A86" s="99" t="s">
        <v>153</v>
      </c>
    </row>
    <row r="88" spans="1:15" x14ac:dyDescent="0.3">
      <c r="A88" s="100"/>
      <c r="B88" t="s">
        <v>157</v>
      </c>
    </row>
  </sheetData>
  <autoFilter ref="A3:M86" xr:uid="{00000000-0001-0000-0400-000000000000}"/>
  <mergeCells count="9">
    <mergeCell ref="A1:O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5"/>
  <sheetViews>
    <sheetView topLeftCell="B1" zoomScale="80" zoomScaleNormal="80" workbookViewId="0">
      <selection activeCell="E56" sqref="E56"/>
    </sheetView>
  </sheetViews>
  <sheetFormatPr defaultColWidth="0" defaultRowHeight="14.4" zeroHeight="1" x14ac:dyDescent="0.3"/>
  <cols>
    <col min="1" max="1" width="16.33203125" bestFit="1" customWidth="1"/>
    <col min="2" max="2" width="9.88671875" bestFit="1" customWidth="1"/>
    <col min="3" max="3" width="58" customWidth="1"/>
    <col min="4" max="4" width="13.88671875" customWidth="1"/>
    <col min="5" max="7" width="15" customWidth="1"/>
    <col min="8" max="8" width="13.109375" bestFit="1" customWidth="1"/>
    <col min="9" max="9" width="13.109375" customWidth="1"/>
    <col min="10" max="10" width="13.33203125" customWidth="1"/>
    <col min="11" max="11" width="5.44140625" style="90" customWidth="1"/>
    <col min="12" max="12" width="9.109375" hidden="1" customWidth="1"/>
    <col min="13" max="16384" width="9.109375" hidden="1"/>
  </cols>
  <sheetData>
    <row r="1" spans="1:10" ht="27" customHeight="1" x14ac:dyDescent="0.3">
      <c r="A1" s="236" t="s">
        <v>158</v>
      </c>
      <c r="B1" s="232" t="s">
        <v>159</v>
      </c>
      <c r="C1" s="232"/>
      <c r="D1" s="232" t="s">
        <v>160</v>
      </c>
      <c r="E1" s="232" t="s">
        <v>161</v>
      </c>
      <c r="F1" s="237" t="s">
        <v>162</v>
      </c>
      <c r="G1" s="237" t="s">
        <v>500</v>
      </c>
      <c r="H1" s="232" t="s">
        <v>163</v>
      </c>
      <c r="I1" s="233" t="s">
        <v>164</v>
      </c>
      <c r="J1" s="235" t="s">
        <v>165</v>
      </c>
    </row>
    <row r="2" spans="1:10" ht="30.75" customHeight="1" x14ac:dyDescent="0.3">
      <c r="A2" s="236"/>
      <c r="B2" s="101" t="s">
        <v>166</v>
      </c>
      <c r="C2" s="101" t="s">
        <v>167</v>
      </c>
      <c r="D2" s="232"/>
      <c r="E2" s="232"/>
      <c r="F2" s="234"/>
      <c r="G2" s="234"/>
      <c r="H2" s="232"/>
      <c r="I2" s="234"/>
      <c r="J2" s="235"/>
    </row>
    <row r="3" spans="1:10" ht="30" customHeight="1" x14ac:dyDescent="0.3">
      <c r="A3" s="102" t="s">
        <v>168</v>
      </c>
      <c r="B3" s="87" t="s">
        <v>169</v>
      </c>
      <c r="C3" s="103" t="s">
        <v>170</v>
      </c>
      <c r="D3" s="102" t="s">
        <v>171</v>
      </c>
      <c r="E3" s="123">
        <v>7.15</v>
      </c>
      <c r="F3" s="104">
        <v>0</v>
      </c>
      <c r="G3" s="105">
        <v>0</v>
      </c>
      <c r="H3" s="123">
        <v>67.88</v>
      </c>
      <c r="I3" s="106">
        <v>4</v>
      </c>
      <c r="J3" s="107">
        <v>4</v>
      </c>
    </row>
    <row r="4" spans="1:10" ht="30" customHeight="1" x14ac:dyDescent="0.3">
      <c r="A4" s="102" t="s">
        <v>168</v>
      </c>
      <c r="B4" s="87" t="s">
        <v>172</v>
      </c>
      <c r="C4" s="103" t="s">
        <v>173</v>
      </c>
      <c r="D4" s="102" t="s">
        <v>174</v>
      </c>
      <c r="E4" s="124" t="s">
        <v>222</v>
      </c>
      <c r="F4" s="104">
        <v>0</v>
      </c>
      <c r="G4" s="105">
        <v>0</v>
      </c>
      <c r="H4" s="124">
        <v>143555</v>
      </c>
      <c r="I4" s="104">
        <v>9429</v>
      </c>
      <c r="J4" s="105">
        <v>9429</v>
      </c>
    </row>
    <row r="5" spans="1:10" ht="30" customHeight="1" x14ac:dyDescent="0.3">
      <c r="A5" s="102" t="s">
        <v>168</v>
      </c>
      <c r="B5" s="87" t="s">
        <v>175</v>
      </c>
      <c r="C5" s="103" t="s">
        <v>176</v>
      </c>
      <c r="D5" s="102" t="s">
        <v>177</v>
      </c>
      <c r="E5" s="123">
        <v>21.75</v>
      </c>
      <c r="F5" s="106">
        <v>1.31</v>
      </c>
      <c r="G5" s="107">
        <v>0</v>
      </c>
      <c r="H5" s="123">
        <v>408.98</v>
      </c>
      <c r="I5" s="106">
        <v>26</v>
      </c>
      <c r="J5" s="107">
        <v>26</v>
      </c>
    </row>
    <row r="6" spans="1:10" ht="30" customHeight="1" x14ac:dyDescent="0.3">
      <c r="A6" s="102" t="s">
        <v>168</v>
      </c>
      <c r="B6" s="87" t="s">
        <v>178</v>
      </c>
      <c r="C6" s="103" t="s">
        <v>179</v>
      </c>
      <c r="D6" s="102" t="s">
        <v>180</v>
      </c>
      <c r="E6" s="124" t="s">
        <v>222</v>
      </c>
      <c r="F6" s="104">
        <v>0</v>
      </c>
      <c r="G6" s="105">
        <v>0</v>
      </c>
      <c r="H6" s="124">
        <v>1810794</v>
      </c>
      <c r="I6" s="104">
        <v>103578</v>
      </c>
      <c r="J6" s="105">
        <v>103578</v>
      </c>
    </row>
    <row r="7" spans="1:10" ht="30" customHeight="1" x14ac:dyDescent="0.3">
      <c r="A7" s="102" t="s">
        <v>168</v>
      </c>
      <c r="B7" s="87" t="s">
        <v>181</v>
      </c>
      <c r="C7" s="103" t="s">
        <v>182</v>
      </c>
      <c r="D7" s="102" t="s">
        <v>183</v>
      </c>
      <c r="E7" s="104">
        <v>7</v>
      </c>
      <c r="F7" s="104">
        <v>1</v>
      </c>
      <c r="G7" s="105">
        <v>0</v>
      </c>
      <c r="H7" s="124">
        <v>65</v>
      </c>
      <c r="I7" s="104">
        <v>6</v>
      </c>
      <c r="J7" s="107">
        <v>6</v>
      </c>
    </row>
    <row r="8" spans="1:10" ht="30" customHeight="1" x14ac:dyDescent="0.3">
      <c r="A8" s="102" t="s">
        <v>168</v>
      </c>
      <c r="B8" s="87" t="s">
        <v>184</v>
      </c>
      <c r="C8" s="103" t="s">
        <v>185</v>
      </c>
      <c r="D8" s="102" t="s">
        <v>186</v>
      </c>
      <c r="E8" s="104">
        <v>0</v>
      </c>
      <c r="F8" s="104">
        <v>0</v>
      </c>
      <c r="G8" s="105">
        <v>0</v>
      </c>
      <c r="H8" s="124">
        <v>76009</v>
      </c>
      <c r="I8" s="104">
        <v>7692</v>
      </c>
      <c r="J8" s="107">
        <v>7692</v>
      </c>
    </row>
    <row r="9" spans="1:10" ht="30" customHeight="1" x14ac:dyDescent="0.3">
      <c r="A9" s="102" t="s">
        <v>168</v>
      </c>
      <c r="B9" s="87" t="s">
        <v>187</v>
      </c>
      <c r="C9" s="103" t="s">
        <v>188</v>
      </c>
      <c r="D9" s="102" t="s">
        <v>183</v>
      </c>
      <c r="E9" s="104">
        <v>0</v>
      </c>
      <c r="F9" s="104">
        <v>0</v>
      </c>
      <c r="G9" s="105">
        <v>0</v>
      </c>
      <c r="H9" s="124">
        <v>19</v>
      </c>
      <c r="I9" s="104">
        <v>1</v>
      </c>
      <c r="J9" s="107">
        <v>1</v>
      </c>
    </row>
    <row r="10" spans="1:10" ht="30" customHeight="1" x14ac:dyDescent="0.3">
      <c r="A10" s="102" t="s">
        <v>168</v>
      </c>
      <c r="B10" s="87" t="s">
        <v>189</v>
      </c>
      <c r="C10" s="103" t="s">
        <v>190</v>
      </c>
      <c r="D10" s="102" t="s">
        <v>174</v>
      </c>
      <c r="E10" s="104">
        <v>0</v>
      </c>
      <c r="F10" s="104">
        <v>0</v>
      </c>
      <c r="G10" s="105">
        <v>0</v>
      </c>
      <c r="H10" s="124">
        <v>815</v>
      </c>
      <c r="I10" s="104">
        <v>12</v>
      </c>
      <c r="J10" s="107">
        <v>12</v>
      </c>
    </row>
    <row r="11" spans="1:10" ht="30" customHeight="1" x14ac:dyDescent="0.3">
      <c r="A11" s="102" t="s">
        <v>168</v>
      </c>
      <c r="B11" s="87" t="s">
        <v>191</v>
      </c>
      <c r="C11" s="103" t="s">
        <v>192</v>
      </c>
      <c r="D11" s="102" t="s">
        <v>174</v>
      </c>
      <c r="E11" s="124" t="s">
        <v>222</v>
      </c>
      <c r="F11" s="104">
        <v>0</v>
      </c>
      <c r="G11" s="105">
        <v>0</v>
      </c>
      <c r="H11" s="124">
        <v>123</v>
      </c>
      <c r="I11" s="104">
        <v>2</v>
      </c>
      <c r="J11" s="107">
        <v>2</v>
      </c>
    </row>
    <row r="12" spans="1:10" ht="30" customHeight="1" x14ac:dyDescent="0.3">
      <c r="A12" s="102" t="s">
        <v>168</v>
      </c>
      <c r="B12" s="87" t="s">
        <v>193</v>
      </c>
      <c r="C12" s="103" t="s">
        <v>194</v>
      </c>
      <c r="D12" s="108" t="s">
        <v>177</v>
      </c>
      <c r="E12" s="123">
        <v>13.35</v>
      </c>
      <c r="F12" s="185">
        <v>1.7969999999999999</v>
      </c>
      <c r="G12" s="107">
        <v>0</v>
      </c>
      <c r="H12" s="123">
        <v>125.48</v>
      </c>
      <c r="I12" s="185">
        <v>17.931000000000001</v>
      </c>
      <c r="J12" s="188">
        <v>17.931000000000001</v>
      </c>
    </row>
    <row r="13" spans="1:10" ht="30" customHeight="1" x14ac:dyDescent="0.3">
      <c r="A13" s="102" t="s">
        <v>195</v>
      </c>
      <c r="B13" s="87" t="s">
        <v>196</v>
      </c>
      <c r="C13" s="103" t="s">
        <v>197</v>
      </c>
      <c r="D13" s="102" t="s">
        <v>186</v>
      </c>
      <c r="E13" s="123">
        <v>39718.31</v>
      </c>
      <c r="F13" s="106">
        <v>2468.33</v>
      </c>
      <c r="G13" s="107">
        <v>0</v>
      </c>
      <c r="H13" s="123">
        <v>309509.11</v>
      </c>
      <c r="I13" s="106">
        <v>24683.25</v>
      </c>
      <c r="J13" s="105">
        <v>24683.25</v>
      </c>
    </row>
    <row r="14" spans="1:10" ht="30" customHeight="1" x14ac:dyDescent="0.3">
      <c r="A14" s="102" t="s">
        <v>195</v>
      </c>
      <c r="B14" s="87" t="s">
        <v>198</v>
      </c>
      <c r="C14" s="103" t="s">
        <v>199</v>
      </c>
      <c r="D14" s="102" t="s">
        <v>200</v>
      </c>
      <c r="E14" s="124" t="s">
        <v>222</v>
      </c>
      <c r="F14" s="104">
        <v>0</v>
      </c>
      <c r="G14" s="105">
        <v>0</v>
      </c>
      <c r="H14" s="124">
        <v>46425.82</v>
      </c>
      <c r="I14" s="187">
        <v>3332.4</v>
      </c>
      <c r="J14" s="186">
        <v>3332.4</v>
      </c>
    </row>
    <row r="15" spans="1:10" ht="30" customHeight="1" x14ac:dyDescent="0.3">
      <c r="A15" s="102" t="s">
        <v>195</v>
      </c>
      <c r="B15" s="87" t="s">
        <v>201</v>
      </c>
      <c r="C15" s="103" t="s">
        <v>202</v>
      </c>
      <c r="D15" s="102" t="s">
        <v>203</v>
      </c>
      <c r="E15" s="124" t="s">
        <v>222</v>
      </c>
      <c r="F15" s="104">
        <v>0</v>
      </c>
      <c r="G15" s="105">
        <v>0</v>
      </c>
      <c r="H15" s="123">
        <v>27097.7</v>
      </c>
      <c r="I15" s="106">
        <v>2145.56</v>
      </c>
      <c r="J15" s="107">
        <v>2145.56</v>
      </c>
    </row>
    <row r="16" spans="1:10" ht="30" customHeight="1" x14ac:dyDescent="0.3">
      <c r="A16" s="102" t="s">
        <v>195</v>
      </c>
      <c r="B16" s="87" t="s">
        <v>204</v>
      </c>
      <c r="C16" s="103" t="s">
        <v>205</v>
      </c>
      <c r="D16" s="102" t="s">
        <v>206</v>
      </c>
      <c r="E16" s="123">
        <v>1.84</v>
      </c>
      <c r="F16" s="106">
        <v>0.12</v>
      </c>
      <c r="G16" s="107">
        <v>0</v>
      </c>
      <c r="H16" s="123">
        <v>14.3</v>
      </c>
      <c r="I16" s="106">
        <v>1.03</v>
      </c>
      <c r="J16" s="107">
        <v>1.03</v>
      </c>
    </row>
    <row r="17" spans="1:10" ht="30" customHeight="1" x14ac:dyDescent="0.3">
      <c r="A17" s="102" t="s">
        <v>195</v>
      </c>
      <c r="B17" s="87" t="s">
        <v>207</v>
      </c>
      <c r="C17" s="103" t="s">
        <v>208</v>
      </c>
      <c r="D17" s="102" t="s">
        <v>200</v>
      </c>
      <c r="E17" s="124" t="s">
        <v>222</v>
      </c>
      <c r="F17" s="104">
        <v>0</v>
      </c>
      <c r="G17" s="105">
        <v>0</v>
      </c>
      <c r="H17" s="123">
        <v>15694.68</v>
      </c>
      <c r="I17" s="106">
        <v>1126.45</v>
      </c>
      <c r="J17" s="107">
        <v>1126.45</v>
      </c>
    </row>
    <row r="18" spans="1:10" ht="30" customHeight="1" x14ac:dyDescent="0.3">
      <c r="A18" s="102" t="s">
        <v>195</v>
      </c>
      <c r="B18" s="87" t="s">
        <v>209</v>
      </c>
      <c r="C18" s="103" t="s">
        <v>210</v>
      </c>
      <c r="D18" s="102" t="s">
        <v>183</v>
      </c>
      <c r="E18" s="104">
        <v>1</v>
      </c>
      <c r="F18" s="104">
        <v>1</v>
      </c>
      <c r="G18" s="105">
        <v>0</v>
      </c>
      <c r="H18" s="124">
        <v>8</v>
      </c>
      <c r="I18" s="104">
        <v>1</v>
      </c>
      <c r="J18" s="105">
        <v>1</v>
      </c>
    </row>
    <row r="19" spans="1:10" ht="30" customHeight="1" x14ac:dyDescent="0.3">
      <c r="A19" s="102" t="s">
        <v>211</v>
      </c>
      <c r="B19" s="87" t="s">
        <v>212</v>
      </c>
      <c r="C19" s="103" t="s">
        <v>213</v>
      </c>
      <c r="D19" s="102" t="s">
        <v>174</v>
      </c>
      <c r="E19" s="104">
        <v>1766</v>
      </c>
      <c r="F19" s="104">
        <v>140</v>
      </c>
      <c r="G19" s="105">
        <v>0</v>
      </c>
      <c r="H19" s="124">
        <v>31447</v>
      </c>
      <c r="I19" s="104">
        <v>2788</v>
      </c>
      <c r="J19" s="105">
        <v>2788</v>
      </c>
    </row>
    <row r="20" spans="1:10" ht="30" customHeight="1" x14ac:dyDescent="0.3">
      <c r="A20" s="102" t="s">
        <v>211</v>
      </c>
      <c r="B20" s="87" t="s">
        <v>214</v>
      </c>
      <c r="C20" s="103" t="s">
        <v>215</v>
      </c>
      <c r="D20" s="102" t="s">
        <v>174</v>
      </c>
      <c r="E20" s="104">
        <v>207</v>
      </c>
      <c r="F20" s="104">
        <v>17</v>
      </c>
      <c r="G20" s="105">
        <v>0</v>
      </c>
      <c r="H20" s="124">
        <v>3690</v>
      </c>
      <c r="I20" s="104">
        <v>328</v>
      </c>
      <c r="J20" s="105">
        <v>328</v>
      </c>
    </row>
    <row r="21" spans="1:10" ht="30" customHeight="1" x14ac:dyDescent="0.3">
      <c r="A21" s="102" t="s">
        <v>211</v>
      </c>
      <c r="B21" s="87" t="s">
        <v>216</v>
      </c>
      <c r="C21" s="103" t="s">
        <v>217</v>
      </c>
      <c r="D21" s="102" t="s">
        <v>174</v>
      </c>
      <c r="E21" s="104">
        <v>128</v>
      </c>
      <c r="F21" s="104">
        <v>11</v>
      </c>
      <c r="G21" s="105">
        <v>0</v>
      </c>
      <c r="H21" s="124">
        <v>2286</v>
      </c>
      <c r="I21" s="104">
        <v>203</v>
      </c>
      <c r="J21" s="105">
        <v>203</v>
      </c>
    </row>
    <row r="22" spans="1:10" ht="30" customHeight="1" x14ac:dyDescent="0.3">
      <c r="A22" s="102" t="s">
        <v>211</v>
      </c>
      <c r="B22" s="87" t="s">
        <v>218</v>
      </c>
      <c r="C22" s="103" t="s">
        <v>219</v>
      </c>
      <c r="D22" s="102" t="s">
        <v>174</v>
      </c>
      <c r="E22" s="104">
        <v>2168</v>
      </c>
      <c r="F22" s="104">
        <v>172</v>
      </c>
      <c r="G22" s="105">
        <v>0</v>
      </c>
      <c r="H22" s="124">
        <v>38607</v>
      </c>
      <c r="I22" s="104">
        <v>2500</v>
      </c>
      <c r="J22" s="105">
        <v>2500</v>
      </c>
    </row>
    <row r="23" spans="1:10" ht="30" customHeight="1" x14ac:dyDescent="0.3">
      <c r="A23" s="102" t="s">
        <v>211</v>
      </c>
      <c r="B23" s="87" t="s">
        <v>220</v>
      </c>
      <c r="C23" s="103" t="s">
        <v>221</v>
      </c>
      <c r="D23" s="102" t="s">
        <v>174</v>
      </c>
      <c r="E23" s="106" t="s">
        <v>222</v>
      </c>
      <c r="F23" s="106" t="s">
        <v>319</v>
      </c>
      <c r="G23" s="107">
        <v>0</v>
      </c>
      <c r="H23" s="124">
        <v>19817</v>
      </c>
      <c r="I23" s="104">
        <v>1757</v>
      </c>
      <c r="J23" s="105">
        <v>1757</v>
      </c>
    </row>
    <row r="24" spans="1:10" ht="30" customHeight="1" x14ac:dyDescent="0.3">
      <c r="A24" s="102" t="s">
        <v>211</v>
      </c>
      <c r="B24" s="87" t="s">
        <v>223</v>
      </c>
      <c r="C24" s="103" t="s">
        <v>224</v>
      </c>
      <c r="D24" s="102" t="s">
        <v>183</v>
      </c>
      <c r="E24" s="104">
        <v>0</v>
      </c>
      <c r="F24" s="104">
        <v>0</v>
      </c>
      <c r="G24" s="105">
        <v>0</v>
      </c>
      <c r="H24" s="124">
        <v>255</v>
      </c>
      <c r="I24" s="104">
        <v>5</v>
      </c>
      <c r="J24" s="105">
        <v>5</v>
      </c>
    </row>
    <row r="25" spans="1:10" ht="30" customHeight="1" x14ac:dyDescent="0.3">
      <c r="A25" s="102" t="s">
        <v>211</v>
      </c>
      <c r="B25" s="87" t="s">
        <v>225</v>
      </c>
      <c r="C25" s="103" t="s">
        <v>226</v>
      </c>
      <c r="D25" s="102" t="s">
        <v>183</v>
      </c>
      <c r="E25" s="104">
        <v>0</v>
      </c>
      <c r="F25" s="104">
        <v>0</v>
      </c>
      <c r="G25" s="105">
        <v>0</v>
      </c>
      <c r="H25" s="124">
        <v>127</v>
      </c>
      <c r="I25" s="104">
        <v>3</v>
      </c>
      <c r="J25" s="105">
        <v>3</v>
      </c>
    </row>
    <row r="26" spans="1:10" ht="30" customHeight="1" x14ac:dyDescent="0.3">
      <c r="A26" s="102" t="s">
        <v>211</v>
      </c>
      <c r="B26" s="87" t="s">
        <v>227</v>
      </c>
      <c r="C26" s="103" t="s">
        <v>228</v>
      </c>
      <c r="D26" s="102" t="s">
        <v>174</v>
      </c>
      <c r="E26" s="106" t="s">
        <v>222</v>
      </c>
      <c r="F26" s="106" t="s">
        <v>319</v>
      </c>
      <c r="G26" s="107">
        <v>0</v>
      </c>
      <c r="H26" s="124">
        <v>13716</v>
      </c>
      <c r="I26" s="104">
        <v>219</v>
      </c>
      <c r="J26" s="105">
        <v>219</v>
      </c>
    </row>
    <row r="27" spans="1:10" ht="30" customHeight="1" x14ac:dyDescent="0.3">
      <c r="A27" s="102" t="s">
        <v>211</v>
      </c>
      <c r="B27" s="87" t="s">
        <v>229</v>
      </c>
      <c r="C27" s="103" t="s">
        <v>230</v>
      </c>
      <c r="D27" s="102" t="s">
        <v>174</v>
      </c>
      <c r="E27" s="124" t="s">
        <v>222</v>
      </c>
      <c r="F27" s="104">
        <v>0</v>
      </c>
      <c r="G27" s="105">
        <v>0</v>
      </c>
      <c r="H27" s="124">
        <v>188</v>
      </c>
      <c r="I27" s="104">
        <v>1</v>
      </c>
      <c r="J27" s="105">
        <v>1</v>
      </c>
    </row>
    <row r="28" spans="1:10" ht="30" customHeight="1" x14ac:dyDescent="0.3">
      <c r="A28" s="102" t="s">
        <v>211</v>
      </c>
      <c r="B28" s="87" t="s">
        <v>223</v>
      </c>
      <c r="C28" s="103" t="s">
        <v>224</v>
      </c>
      <c r="D28" s="102" t="s">
        <v>183</v>
      </c>
      <c r="E28" s="104">
        <v>9</v>
      </c>
      <c r="F28" s="104">
        <v>1</v>
      </c>
      <c r="G28" s="105">
        <v>0</v>
      </c>
      <c r="H28" s="124">
        <v>764</v>
      </c>
      <c r="I28" s="104">
        <v>46</v>
      </c>
      <c r="J28" s="105">
        <v>46</v>
      </c>
    </row>
    <row r="29" spans="1:10" ht="30" customHeight="1" x14ac:dyDescent="0.3">
      <c r="A29" s="102" t="s">
        <v>211</v>
      </c>
      <c r="B29" s="87" t="s">
        <v>231</v>
      </c>
      <c r="C29" s="103" t="s">
        <v>232</v>
      </c>
      <c r="D29" s="102" t="s">
        <v>183</v>
      </c>
      <c r="E29" s="104">
        <v>3</v>
      </c>
      <c r="F29" s="104">
        <v>1</v>
      </c>
      <c r="G29" s="105">
        <v>0</v>
      </c>
      <c r="H29" s="124">
        <v>293</v>
      </c>
      <c r="I29" s="104">
        <v>18</v>
      </c>
      <c r="J29" s="105">
        <v>18</v>
      </c>
    </row>
    <row r="30" spans="1:10" ht="30" customHeight="1" x14ac:dyDescent="0.3">
      <c r="A30" s="102" t="s">
        <v>211</v>
      </c>
      <c r="B30" s="87" t="s">
        <v>227</v>
      </c>
      <c r="C30" s="103" t="s">
        <v>228</v>
      </c>
      <c r="D30" s="102" t="s">
        <v>174</v>
      </c>
      <c r="E30" s="124" t="s">
        <v>222</v>
      </c>
      <c r="F30" s="104">
        <v>0</v>
      </c>
      <c r="G30" s="105">
        <v>0</v>
      </c>
      <c r="H30" s="124">
        <v>1307423</v>
      </c>
      <c r="I30" s="104">
        <v>70394</v>
      </c>
      <c r="J30" s="105">
        <v>70394</v>
      </c>
    </row>
    <row r="31" spans="1:10" ht="43.2" x14ac:dyDescent="0.3">
      <c r="A31" s="102" t="s">
        <v>211</v>
      </c>
      <c r="B31" s="87" t="s">
        <v>233</v>
      </c>
      <c r="C31" s="103" t="s">
        <v>234</v>
      </c>
      <c r="D31" s="102" t="s">
        <v>183</v>
      </c>
      <c r="E31" s="124" t="s">
        <v>222</v>
      </c>
      <c r="F31" s="104">
        <v>0</v>
      </c>
      <c r="G31" s="105">
        <v>0</v>
      </c>
      <c r="H31" s="124">
        <v>85</v>
      </c>
      <c r="I31" s="104">
        <v>5</v>
      </c>
      <c r="J31" s="105">
        <v>5</v>
      </c>
    </row>
    <row r="32" spans="1:10" ht="30" customHeight="1" x14ac:dyDescent="0.3">
      <c r="A32" s="102" t="s">
        <v>211</v>
      </c>
      <c r="B32" s="87" t="s">
        <v>235</v>
      </c>
      <c r="C32" s="103" t="s">
        <v>236</v>
      </c>
      <c r="D32" s="102" t="s">
        <v>183</v>
      </c>
      <c r="E32" s="104">
        <v>359</v>
      </c>
      <c r="F32" s="104">
        <v>9</v>
      </c>
      <c r="G32" s="105">
        <v>0</v>
      </c>
      <c r="H32" s="124">
        <v>3455</v>
      </c>
      <c r="I32" s="104">
        <v>62</v>
      </c>
      <c r="J32" s="105">
        <v>62</v>
      </c>
    </row>
    <row r="33" spans="1:10" ht="30" customHeight="1" x14ac:dyDescent="0.3">
      <c r="A33" s="102" t="s">
        <v>211</v>
      </c>
      <c r="B33" s="87" t="s">
        <v>237</v>
      </c>
      <c r="C33" s="103" t="s">
        <v>238</v>
      </c>
      <c r="D33" s="102" t="s">
        <v>183</v>
      </c>
      <c r="E33" s="104">
        <v>93</v>
      </c>
      <c r="F33" s="104">
        <v>3</v>
      </c>
      <c r="G33" s="105">
        <v>0</v>
      </c>
      <c r="H33" s="124">
        <v>881</v>
      </c>
      <c r="I33" s="104">
        <v>23</v>
      </c>
      <c r="J33" s="105">
        <v>23</v>
      </c>
    </row>
    <row r="34" spans="1:10" ht="30" customHeight="1" x14ac:dyDescent="0.3">
      <c r="A34" s="102" t="s">
        <v>211</v>
      </c>
      <c r="B34" s="87" t="s">
        <v>239</v>
      </c>
      <c r="C34" s="103" t="s">
        <v>240</v>
      </c>
      <c r="D34" s="102" t="s">
        <v>183</v>
      </c>
      <c r="E34" s="104">
        <v>2032</v>
      </c>
      <c r="F34" s="104">
        <v>109</v>
      </c>
      <c r="G34" s="105">
        <v>0</v>
      </c>
      <c r="H34" s="124">
        <v>18144</v>
      </c>
      <c r="I34" s="104">
        <v>1088</v>
      </c>
      <c r="J34" s="105">
        <v>1080</v>
      </c>
    </row>
    <row r="35" spans="1:10" ht="30" customHeight="1" x14ac:dyDescent="0.3">
      <c r="A35" s="102" t="s">
        <v>211</v>
      </c>
      <c r="B35" s="87" t="s">
        <v>241</v>
      </c>
      <c r="C35" s="103" t="s">
        <v>242</v>
      </c>
      <c r="D35" s="102" t="s">
        <v>183</v>
      </c>
      <c r="E35" s="104">
        <v>75</v>
      </c>
      <c r="F35" s="104">
        <v>4</v>
      </c>
      <c r="G35" s="105">
        <v>0</v>
      </c>
      <c r="H35" s="124">
        <v>718</v>
      </c>
      <c r="I35" s="104">
        <v>40</v>
      </c>
      <c r="J35" s="105">
        <v>40</v>
      </c>
    </row>
    <row r="36" spans="1:10" ht="30" customHeight="1" x14ac:dyDescent="0.3">
      <c r="A36" s="102" t="s">
        <v>211</v>
      </c>
      <c r="B36" s="87" t="s">
        <v>243</v>
      </c>
      <c r="C36" s="103" t="s">
        <v>244</v>
      </c>
      <c r="D36" s="102" t="s">
        <v>174</v>
      </c>
      <c r="E36" s="124" t="s">
        <v>222</v>
      </c>
      <c r="F36" s="104">
        <v>0</v>
      </c>
      <c r="G36" s="105">
        <v>0</v>
      </c>
      <c r="H36" s="124">
        <v>4212</v>
      </c>
      <c r="I36" s="104">
        <v>198</v>
      </c>
      <c r="J36" s="105">
        <v>196</v>
      </c>
    </row>
    <row r="37" spans="1:10" ht="30" customHeight="1" x14ac:dyDescent="0.3">
      <c r="A37" s="102" t="s">
        <v>211</v>
      </c>
      <c r="B37" s="87" t="s">
        <v>245</v>
      </c>
      <c r="C37" s="103" t="s">
        <v>246</v>
      </c>
      <c r="D37" s="102" t="s">
        <v>183</v>
      </c>
      <c r="E37" s="124" t="s">
        <v>222</v>
      </c>
      <c r="F37" s="104">
        <v>0</v>
      </c>
      <c r="G37" s="105">
        <v>0</v>
      </c>
      <c r="H37" s="124">
        <v>39</v>
      </c>
      <c r="I37" s="104">
        <v>1</v>
      </c>
      <c r="J37" s="105">
        <v>1</v>
      </c>
    </row>
    <row r="38" spans="1:10" ht="30" customHeight="1" x14ac:dyDescent="0.3">
      <c r="A38" s="102" t="s">
        <v>211</v>
      </c>
      <c r="B38" s="87" t="s">
        <v>247</v>
      </c>
      <c r="C38" s="103" t="s">
        <v>248</v>
      </c>
      <c r="D38" s="102" t="s">
        <v>183</v>
      </c>
      <c r="E38" s="124" t="s">
        <v>222</v>
      </c>
      <c r="F38" s="104">
        <v>0</v>
      </c>
      <c r="G38" s="105">
        <v>0</v>
      </c>
      <c r="H38" s="124">
        <v>153</v>
      </c>
      <c r="I38" s="104">
        <v>9</v>
      </c>
      <c r="J38" s="105">
        <v>9</v>
      </c>
    </row>
    <row r="39" spans="1:10" ht="43.2" x14ac:dyDescent="0.3">
      <c r="A39" s="102" t="s">
        <v>211</v>
      </c>
      <c r="B39" s="87" t="s">
        <v>249</v>
      </c>
      <c r="C39" s="103" t="s">
        <v>250</v>
      </c>
      <c r="D39" s="102" t="s">
        <v>183</v>
      </c>
      <c r="E39" s="104">
        <v>56</v>
      </c>
      <c r="F39" s="104">
        <v>2</v>
      </c>
      <c r="G39" s="105">
        <v>0</v>
      </c>
      <c r="H39" s="124">
        <v>535</v>
      </c>
      <c r="I39" s="104">
        <v>7</v>
      </c>
      <c r="J39" s="105">
        <v>7</v>
      </c>
    </row>
    <row r="40" spans="1:10" ht="30" customHeight="1" x14ac:dyDescent="0.3">
      <c r="A40" s="102" t="s">
        <v>211</v>
      </c>
      <c r="B40" s="87" t="s">
        <v>251</v>
      </c>
      <c r="C40" s="103" t="s">
        <v>252</v>
      </c>
      <c r="D40" s="102" t="s">
        <v>174</v>
      </c>
      <c r="E40" s="124" t="s">
        <v>222</v>
      </c>
      <c r="F40" s="104">
        <v>0</v>
      </c>
      <c r="G40" s="105">
        <v>0</v>
      </c>
      <c r="H40" s="124">
        <v>3843041</v>
      </c>
      <c r="I40" s="104">
        <v>70000</v>
      </c>
      <c r="J40" s="105">
        <v>70000</v>
      </c>
    </row>
    <row r="41" spans="1:10" ht="30" customHeight="1" x14ac:dyDescent="0.3">
      <c r="A41" s="102" t="s">
        <v>211</v>
      </c>
      <c r="B41" s="87" t="s">
        <v>253</v>
      </c>
      <c r="C41" s="103" t="s">
        <v>254</v>
      </c>
      <c r="D41" s="102" t="s">
        <v>183</v>
      </c>
      <c r="E41" s="104">
        <v>26</v>
      </c>
      <c r="F41" s="104">
        <v>1</v>
      </c>
      <c r="G41" s="105">
        <v>0</v>
      </c>
      <c r="H41" s="124">
        <v>244</v>
      </c>
      <c r="I41" s="104">
        <v>9</v>
      </c>
      <c r="J41" s="105">
        <v>9</v>
      </c>
    </row>
    <row r="42" spans="1:10" ht="30" customHeight="1" x14ac:dyDescent="0.3">
      <c r="A42" s="102" t="s">
        <v>211</v>
      </c>
      <c r="B42" s="87" t="s">
        <v>255</v>
      </c>
      <c r="C42" s="103" t="s">
        <v>256</v>
      </c>
      <c r="D42" s="102" t="s">
        <v>183</v>
      </c>
      <c r="E42" s="124" t="s">
        <v>222</v>
      </c>
      <c r="F42" s="104">
        <v>0</v>
      </c>
      <c r="G42" s="105">
        <v>0</v>
      </c>
      <c r="H42" s="124">
        <v>176</v>
      </c>
      <c r="I42" s="104">
        <v>5</v>
      </c>
      <c r="J42" s="105">
        <v>5</v>
      </c>
    </row>
    <row r="43" spans="1:10" ht="43.2" x14ac:dyDescent="0.3">
      <c r="A43" s="102" t="s">
        <v>211</v>
      </c>
      <c r="B43" s="87" t="s">
        <v>257</v>
      </c>
      <c r="C43" s="103" t="s">
        <v>258</v>
      </c>
      <c r="D43" s="102" t="s">
        <v>183</v>
      </c>
      <c r="E43" s="124" t="s">
        <v>222</v>
      </c>
      <c r="F43" s="104">
        <v>0</v>
      </c>
      <c r="G43" s="105">
        <v>0</v>
      </c>
      <c r="H43" s="124">
        <v>30</v>
      </c>
      <c r="I43" s="104">
        <v>2</v>
      </c>
      <c r="J43" s="105">
        <v>2</v>
      </c>
    </row>
    <row r="44" spans="1:10" ht="30" customHeight="1" x14ac:dyDescent="0.3">
      <c r="A44" s="102" t="s">
        <v>211</v>
      </c>
      <c r="B44" s="87" t="s">
        <v>259</v>
      </c>
      <c r="C44" s="103" t="s">
        <v>260</v>
      </c>
      <c r="D44" s="102" t="s">
        <v>183</v>
      </c>
      <c r="E44" s="104">
        <v>0</v>
      </c>
      <c r="F44" s="104">
        <v>0</v>
      </c>
      <c r="G44" s="105">
        <v>0</v>
      </c>
      <c r="H44" s="124">
        <v>24832</v>
      </c>
      <c r="I44" s="104">
        <v>1010</v>
      </c>
      <c r="J44" s="105">
        <v>1010</v>
      </c>
    </row>
    <row r="45" spans="1:10" ht="30" customHeight="1" x14ac:dyDescent="0.3">
      <c r="A45" s="102" t="s">
        <v>211</v>
      </c>
      <c r="B45" s="87" t="s">
        <v>261</v>
      </c>
      <c r="C45" s="103" t="s">
        <v>262</v>
      </c>
      <c r="D45" s="102" t="s">
        <v>183</v>
      </c>
      <c r="E45" s="104">
        <v>0</v>
      </c>
      <c r="F45" s="104">
        <v>0</v>
      </c>
      <c r="G45" s="105">
        <v>0</v>
      </c>
      <c r="H45" s="124">
        <v>235</v>
      </c>
      <c r="I45" s="104">
        <v>10</v>
      </c>
      <c r="J45" s="105">
        <v>10</v>
      </c>
    </row>
    <row r="46" spans="1:10" ht="30" customHeight="1" x14ac:dyDescent="0.3">
      <c r="A46" s="102" t="s">
        <v>211</v>
      </c>
      <c r="B46" s="87" t="s">
        <v>263</v>
      </c>
      <c r="C46" s="103" t="s">
        <v>264</v>
      </c>
      <c r="D46" s="102" t="s">
        <v>183</v>
      </c>
      <c r="E46" s="104">
        <v>0</v>
      </c>
      <c r="F46" s="104">
        <v>0</v>
      </c>
      <c r="G46" s="105">
        <v>0</v>
      </c>
      <c r="H46" s="124">
        <v>6</v>
      </c>
      <c r="I46" s="104">
        <v>0</v>
      </c>
      <c r="J46" s="105">
        <v>0</v>
      </c>
    </row>
    <row r="47" spans="1:10" ht="30" customHeight="1" x14ac:dyDescent="0.3">
      <c r="A47" s="102" t="s">
        <v>211</v>
      </c>
      <c r="B47" s="87" t="s">
        <v>265</v>
      </c>
      <c r="C47" s="103" t="s">
        <v>266</v>
      </c>
      <c r="D47" s="102" t="s">
        <v>183</v>
      </c>
      <c r="E47" s="124" t="s">
        <v>222</v>
      </c>
      <c r="F47" s="104">
        <v>0</v>
      </c>
      <c r="G47" s="105">
        <v>0</v>
      </c>
      <c r="H47" s="124">
        <v>17879</v>
      </c>
      <c r="I47" s="104">
        <v>727</v>
      </c>
      <c r="J47" s="105">
        <v>727</v>
      </c>
    </row>
    <row r="48" spans="1:10" ht="30" customHeight="1" x14ac:dyDescent="0.3">
      <c r="A48" s="102" t="s">
        <v>267</v>
      </c>
      <c r="B48" s="87" t="s">
        <v>268</v>
      </c>
      <c r="C48" s="103" t="s">
        <v>269</v>
      </c>
      <c r="D48" s="102" t="s">
        <v>183</v>
      </c>
      <c r="E48" s="124">
        <v>116</v>
      </c>
      <c r="F48" s="104">
        <v>9</v>
      </c>
      <c r="G48" s="105">
        <v>0</v>
      </c>
      <c r="H48" s="124">
        <v>1055</v>
      </c>
      <c r="I48" s="104">
        <v>80</v>
      </c>
      <c r="J48" s="105">
        <v>72</v>
      </c>
    </row>
    <row r="49" spans="1:10" ht="30" customHeight="1" x14ac:dyDescent="0.3">
      <c r="A49" s="102" t="s">
        <v>267</v>
      </c>
      <c r="B49" s="87" t="s">
        <v>270</v>
      </c>
      <c r="C49" s="103" t="s">
        <v>271</v>
      </c>
      <c r="D49" s="102" t="s">
        <v>183</v>
      </c>
      <c r="E49" s="104">
        <v>12</v>
      </c>
      <c r="F49" s="104">
        <v>1</v>
      </c>
      <c r="G49" s="105">
        <v>0</v>
      </c>
      <c r="H49" s="124">
        <v>108</v>
      </c>
      <c r="I49" s="104">
        <v>8</v>
      </c>
      <c r="J49" s="105">
        <v>7</v>
      </c>
    </row>
    <row r="50" spans="1:10" ht="30" customHeight="1" x14ac:dyDescent="0.3">
      <c r="A50" s="102" t="s">
        <v>267</v>
      </c>
      <c r="B50" s="87" t="s">
        <v>272</v>
      </c>
      <c r="C50" s="103" t="s">
        <v>273</v>
      </c>
      <c r="D50" s="102" t="s">
        <v>183</v>
      </c>
      <c r="E50" s="104">
        <v>0</v>
      </c>
      <c r="F50" s="104">
        <v>0</v>
      </c>
      <c r="G50" s="105">
        <v>0</v>
      </c>
      <c r="H50" s="124">
        <v>74</v>
      </c>
      <c r="I50" s="104">
        <v>6</v>
      </c>
      <c r="J50" s="105">
        <v>5</v>
      </c>
    </row>
    <row r="51" spans="1:10" ht="30" customHeight="1" x14ac:dyDescent="0.3">
      <c r="A51" s="102" t="s">
        <v>267</v>
      </c>
      <c r="B51" s="87" t="s">
        <v>193</v>
      </c>
      <c r="C51" s="103" t="s">
        <v>274</v>
      </c>
      <c r="D51" s="102" t="s">
        <v>177</v>
      </c>
      <c r="E51" s="106">
        <v>26.974</v>
      </c>
      <c r="F51" s="106">
        <v>1.78</v>
      </c>
      <c r="G51" s="107">
        <v>0</v>
      </c>
      <c r="H51" s="123">
        <v>243.73</v>
      </c>
      <c r="I51" s="106">
        <v>17.8</v>
      </c>
      <c r="J51" s="107">
        <v>17.8</v>
      </c>
    </row>
    <row r="52" spans="1:10" ht="30" customHeight="1" x14ac:dyDescent="0.3">
      <c r="A52" s="102" t="s">
        <v>267</v>
      </c>
      <c r="B52" s="87" t="s">
        <v>275</v>
      </c>
      <c r="C52" s="103" t="s">
        <v>276</v>
      </c>
      <c r="D52" s="102" t="s">
        <v>183</v>
      </c>
      <c r="E52" s="104">
        <v>27</v>
      </c>
      <c r="F52" s="104">
        <v>1</v>
      </c>
      <c r="G52" s="105">
        <v>0</v>
      </c>
      <c r="H52" s="124">
        <v>194</v>
      </c>
      <c r="I52" s="104">
        <v>8</v>
      </c>
      <c r="J52" s="105">
        <v>8</v>
      </c>
    </row>
    <row r="53" spans="1:10" ht="30" customHeight="1" x14ac:dyDescent="0.3">
      <c r="A53" s="102" t="s">
        <v>267</v>
      </c>
      <c r="B53" s="87" t="s">
        <v>209</v>
      </c>
      <c r="C53" s="103" t="s">
        <v>210</v>
      </c>
      <c r="D53" s="102" t="s">
        <v>183</v>
      </c>
      <c r="E53" s="104">
        <v>1</v>
      </c>
      <c r="F53" s="104">
        <v>1</v>
      </c>
      <c r="G53" s="105">
        <v>0</v>
      </c>
      <c r="H53" s="124">
        <v>10</v>
      </c>
      <c r="I53" s="104">
        <v>1</v>
      </c>
      <c r="J53" s="105">
        <v>1</v>
      </c>
    </row>
    <row r="54" spans="1:10" ht="30" customHeight="1" x14ac:dyDescent="0.3">
      <c r="A54" s="102" t="s">
        <v>267</v>
      </c>
      <c r="B54" s="87" t="s">
        <v>277</v>
      </c>
      <c r="C54" s="103" t="s">
        <v>278</v>
      </c>
      <c r="D54" s="102" t="s">
        <v>183</v>
      </c>
      <c r="E54" s="104">
        <v>0</v>
      </c>
      <c r="F54" s="104">
        <v>0</v>
      </c>
      <c r="G54" s="105">
        <v>0</v>
      </c>
      <c r="H54" s="124">
        <v>3</v>
      </c>
      <c r="I54" s="104">
        <v>0</v>
      </c>
      <c r="J54" s="105">
        <v>0</v>
      </c>
    </row>
    <row r="55" spans="1:10" ht="30" customHeight="1" x14ac:dyDescent="0.3">
      <c r="A55" s="109" t="s">
        <v>267</v>
      </c>
      <c r="B55" s="110" t="s">
        <v>275</v>
      </c>
      <c r="C55" s="111" t="s">
        <v>276</v>
      </c>
      <c r="D55" s="109" t="s">
        <v>183</v>
      </c>
      <c r="E55" s="112">
        <v>0</v>
      </c>
      <c r="F55" s="112">
        <v>0</v>
      </c>
      <c r="G55" s="113">
        <v>0</v>
      </c>
      <c r="H55" s="124">
        <v>146</v>
      </c>
      <c r="I55" s="112">
        <v>1</v>
      </c>
      <c r="J55" s="113">
        <v>1</v>
      </c>
    </row>
    <row r="56" spans="1:10" ht="30" customHeight="1" x14ac:dyDescent="0.3">
      <c r="A56" s="109" t="s">
        <v>267</v>
      </c>
      <c r="B56" s="110" t="s">
        <v>277</v>
      </c>
      <c r="C56" s="111" t="s">
        <v>278</v>
      </c>
      <c r="D56" s="109" t="s">
        <v>183</v>
      </c>
      <c r="E56" s="112">
        <v>0</v>
      </c>
      <c r="F56" s="112">
        <v>0</v>
      </c>
      <c r="G56" s="113">
        <v>0</v>
      </c>
      <c r="H56" s="124">
        <v>4</v>
      </c>
      <c r="I56" s="112">
        <v>1</v>
      </c>
      <c r="J56" s="113">
        <v>1</v>
      </c>
    </row>
    <row r="57" spans="1:10" s="90" customFormat="1" x14ac:dyDescent="0.3"/>
    <row r="63" spans="1:10" x14ac:dyDescent="0.3"/>
    <row r="64" spans="1:10" x14ac:dyDescent="0.3"/>
    <row r="75" ht="15.75" hidden="1" customHeight="1" x14ac:dyDescent="0.3"/>
  </sheetData>
  <autoFilter ref="A2:J56" xr:uid="{00000000-0009-0000-0000-000005000000}"/>
  <mergeCells count="9">
    <mergeCell ref="H1:H2"/>
    <mergeCell ref="I1:I2"/>
    <mergeCell ref="J1:J2"/>
    <mergeCell ref="A1:A2"/>
    <mergeCell ref="B1:C1"/>
    <mergeCell ref="D1:D2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9" scale="56" fitToHeight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7"/>
  <sheetViews>
    <sheetView zoomScale="70" zoomScaleNormal="70" workbookViewId="0">
      <selection activeCell="F23" sqref="F23"/>
    </sheetView>
  </sheetViews>
  <sheetFormatPr defaultColWidth="0" defaultRowHeight="15" customHeight="1" zeroHeight="1" x14ac:dyDescent="0.3"/>
  <cols>
    <col min="1" max="1" width="16.33203125" bestFit="1" customWidth="1"/>
    <col min="2" max="2" width="9.88671875" bestFit="1" customWidth="1"/>
    <col min="3" max="3" width="58" customWidth="1"/>
    <col min="4" max="4" width="13.88671875" customWidth="1"/>
    <col min="5" max="5" width="15" bestFit="1" customWidth="1"/>
    <col min="6" max="6" width="15" customWidth="1"/>
    <col min="7" max="7" width="13.109375" bestFit="1" customWidth="1"/>
    <col min="8" max="8" width="13.33203125" customWidth="1"/>
    <col min="9" max="9" width="5.44140625" style="90" customWidth="1"/>
    <col min="10" max="10" width="9.109375" hidden="1" customWidth="1"/>
    <col min="11" max="16384" width="9.109375" hidden="1"/>
  </cols>
  <sheetData>
    <row r="1" spans="1:6" ht="15" customHeight="1" x14ac:dyDescent="0.3">
      <c r="B1" s="238" t="s">
        <v>295</v>
      </c>
      <c r="C1" s="238"/>
    </row>
    <row r="2" spans="1:6" ht="27" customHeight="1" x14ac:dyDescent="0.3">
      <c r="A2" s="236" t="s">
        <v>158</v>
      </c>
      <c r="B2" s="232" t="s">
        <v>159</v>
      </c>
      <c r="C2" s="232"/>
      <c r="D2" s="232" t="s">
        <v>160</v>
      </c>
      <c r="E2" s="232" t="s">
        <v>163</v>
      </c>
      <c r="F2" s="235" t="s">
        <v>292</v>
      </c>
    </row>
    <row r="3" spans="1:6" ht="30.75" customHeight="1" x14ac:dyDescent="0.3">
      <c r="A3" s="236"/>
      <c r="B3" s="101" t="s">
        <v>166</v>
      </c>
      <c r="C3" s="101" t="s">
        <v>167</v>
      </c>
      <c r="D3" s="232"/>
      <c r="E3" s="232"/>
      <c r="F3" s="235"/>
    </row>
    <row r="4" spans="1:6" ht="30" customHeight="1" x14ac:dyDescent="0.3">
      <c r="A4" s="102" t="s">
        <v>168</v>
      </c>
      <c r="B4" s="87" t="s">
        <v>279</v>
      </c>
      <c r="C4" s="103" t="s">
        <v>280</v>
      </c>
      <c r="D4" s="102" t="s">
        <v>174</v>
      </c>
      <c r="E4" s="124">
        <v>2363543</v>
      </c>
      <c r="F4" s="105">
        <v>199725</v>
      </c>
    </row>
    <row r="5" spans="1:6" ht="30" customHeight="1" x14ac:dyDescent="0.3">
      <c r="A5" s="102" t="s">
        <v>168</v>
      </c>
      <c r="B5" s="87" t="s">
        <v>281</v>
      </c>
      <c r="C5" s="103" t="s">
        <v>282</v>
      </c>
      <c r="D5" s="102" t="s">
        <v>183</v>
      </c>
      <c r="E5" s="124">
        <v>42</v>
      </c>
      <c r="F5" s="105">
        <v>1</v>
      </c>
    </row>
    <row r="6" spans="1:6" ht="30" customHeight="1" x14ac:dyDescent="0.3">
      <c r="A6" s="102" t="s">
        <v>168</v>
      </c>
      <c r="B6" s="87" t="s">
        <v>169</v>
      </c>
      <c r="C6" s="103" t="s">
        <v>170</v>
      </c>
      <c r="D6" s="102" t="s">
        <v>171</v>
      </c>
      <c r="E6" s="123">
        <v>24.24</v>
      </c>
      <c r="F6" s="107">
        <v>7.85</v>
      </c>
    </row>
    <row r="7" spans="1:6" ht="30" customHeight="1" x14ac:dyDescent="0.3">
      <c r="A7" s="102" t="s">
        <v>168</v>
      </c>
      <c r="B7" s="87" t="s">
        <v>193</v>
      </c>
      <c r="C7" s="103" t="s">
        <v>194</v>
      </c>
      <c r="D7" s="108" t="s">
        <v>177</v>
      </c>
      <c r="E7" s="123">
        <v>101.75</v>
      </c>
      <c r="F7" s="107">
        <v>9.0500000000000007</v>
      </c>
    </row>
    <row r="8" spans="1:6" ht="30" customHeight="1" x14ac:dyDescent="0.3">
      <c r="A8" s="102" t="s">
        <v>168</v>
      </c>
      <c r="B8" s="87" t="s">
        <v>175</v>
      </c>
      <c r="C8" s="103" t="s">
        <v>176</v>
      </c>
      <c r="D8" s="102" t="s">
        <v>177</v>
      </c>
      <c r="E8" s="123">
        <v>298.7</v>
      </c>
      <c r="F8" s="107">
        <v>5.95</v>
      </c>
    </row>
    <row r="9" spans="1:6" ht="30" customHeight="1" x14ac:dyDescent="0.3">
      <c r="A9" s="102" t="s">
        <v>168</v>
      </c>
      <c r="B9" s="87" t="s">
        <v>178</v>
      </c>
      <c r="C9" s="103" t="s">
        <v>179</v>
      </c>
      <c r="D9" s="102" t="s">
        <v>180</v>
      </c>
      <c r="E9" s="124">
        <v>813845</v>
      </c>
      <c r="F9" s="105">
        <v>32560</v>
      </c>
    </row>
    <row r="10" spans="1:6" ht="30" customHeight="1" x14ac:dyDescent="0.3">
      <c r="A10" s="102" t="s">
        <v>168</v>
      </c>
      <c r="B10" s="87" t="s">
        <v>181</v>
      </c>
      <c r="C10" s="103" t="s">
        <v>182</v>
      </c>
      <c r="D10" s="102" t="s">
        <v>183</v>
      </c>
      <c r="E10" s="123">
        <v>25</v>
      </c>
      <c r="F10" s="105">
        <v>1</v>
      </c>
    </row>
    <row r="11" spans="1:6" ht="30" customHeight="1" x14ac:dyDescent="0.3">
      <c r="A11" s="102" t="s">
        <v>168</v>
      </c>
      <c r="B11" s="87" t="s">
        <v>184</v>
      </c>
      <c r="C11" s="103" t="s">
        <v>185</v>
      </c>
      <c r="D11" s="102" t="s">
        <v>186</v>
      </c>
      <c r="E11" s="124">
        <v>139760</v>
      </c>
      <c r="F11" s="105">
        <v>116322</v>
      </c>
    </row>
    <row r="12" spans="1:6" ht="30" customHeight="1" x14ac:dyDescent="0.3">
      <c r="A12" s="102" t="s">
        <v>168</v>
      </c>
      <c r="B12" s="87" t="s">
        <v>172</v>
      </c>
      <c r="C12" s="103" t="s">
        <v>173</v>
      </c>
      <c r="D12" s="102" t="s">
        <v>174</v>
      </c>
      <c r="E12" s="124">
        <v>84409</v>
      </c>
      <c r="F12" s="105">
        <v>0</v>
      </c>
    </row>
    <row r="13" spans="1:6" ht="30" customHeight="1" x14ac:dyDescent="0.3">
      <c r="A13" s="102" t="s">
        <v>168</v>
      </c>
      <c r="B13" s="87" t="s">
        <v>189</v>
      </c>
      <c r="C13" s="103" t="s">
        <v>190</v>
      </c>
      <c r="D13" s="102" t="s">
        <v>174</v>
      </c>
      <c r="E13" s="124">
        <v>553</v>
      </c>
      <c r="F13" s="105">
        <v>0</v>
      </c>
    </row>
    <row r="14" spans="1:6" ht="30" customHeight="1" x14ac:dyDescent="0.3">
      <c r="A14" s="102" t="s">
        <v>168</v>
      </c>
      <c r="B14" s="87" t="s">
        <v>191</v>
      </c>
      <c r="C14" s="103" t="s">
        <v>192</v>
      </c>
      <c r="D14" s="108" t="s">
        <v>174</v>
      </c>
      <c r="E14" s="124">
        <v>124</v>
      </c>
      <c r="F14" s="105">
        <v>0</v>
      </c>
    </row>
    <row r="15" spans="1:6" ht="30" customHeight="1" x14ac:dyDescent="0.3">
      <c r="A15" s="102" t="s">
        <v>195</v>
      </c>
      <c r="B15" s="87" t="s">
        <v>196</v>
      </c>
      <c r="C15" s="103" t="s">
        <v>197</v>
      </c>
      <c r="D15" s="102" t="s">
        <v>186</v>
      </c>
      <c r="E15" s="123">
        <v>136910.87</v>
      </c>
      <c r="F15" s="105">
        <v>6445</v>
      </c>
    </row>
    <row r="16" spans="1:6" ht="30" customHeight="1" x14ac:dyDescent="0.3">
      <c r="A16" s="102" t="s">
        <v>195</v>
      </c>
      <c r="B16" s="87" t="s">
        <v>198</v>
      </c>
      <c r="C16" s="103" t="s">
        <v>199</v>
      </c>
      <c r="D16" s="102" t="s">
        <v>200</v>
      </c>
      <c r="E16" s="124">
        <v>20536.91</v>
      </c>
      <c r="F16" s="105">
        <v>1931</v>
      </c>
    </row>
    <row r="17" spans="1:6" ht="30" customHeight="1" x14ac:dyDescent="0.3">
      <c r="A17" s="102" t="s">
        <v>195</v>
      </c>
      <c r="B17" s="87" t="s">
        <v>201</v>
      </c>
      <c r="C17" s="103" t="s">
        <v>291</v>
      </c>
      <c r="D17" s="102" t="s">
        <v>203</v>
      </c>
      <c r="E17" s="124">
        <v>7861.47</v>
      </c>
      <c r="F17" s="105">
        <v>456</v>
      </c>
    </row>
    <row r="18" spans="1:6" ht="30" customHeight="1" x14ac:dyDescent="0.3">
      <c r="A18" s="102" t="s">
        <v>195</v>
      </c>
      <c r="B18" s="87" t="s">
        <v>204</v>
      </c>
      <c r="C18" s="103" t="s">
        <v>205</v>
      </c>
      <c r="D18" s="102" t="s">
        <v>206</v>
      </c>
      <c r="E18" s="123">
        <v>6.28</v>
      </c>
      <c r="F18" s="107">
        <v>0.32</v>
      </c>
    </row>
    <row r="19" spans="1:6" ht="30" customHeight="1" x14ac:dyDescent="0.3">
      <c r="A19" s="102" t="s">
        <v>195</v>
      </c>
      <c r="B19" s="87" t="s">
        <v>207</v>
      </c>
      <c r="C19" s="103" t="s">
        <v>208</v>
      </c>
      <c r="D19" s="102" t="s">
        <v>200</v>
      </c>
      <c r="E19" s="124">
        <v>6941.72</v>
      </c>
      <c r="F19" s="188">
        <v>0.496</v>
      </c>
    </row>
    <row r="20" spans="1:6" ht="30" customHeight="1" x14ac:dyDescent="0.3">
      <c r="A20" s="102" t="s">
        <v>195</v>
      </c>
      <c r="B20" s="87" t="s">
        <v>209</v>
      </c>
      <c r="C20" s="103" t="s">
        <v>210</v>
      </c>
      <c r="D20" s="102" t="s">
        <v>183</v>
      </c>
      <c r="E20" s="124">
        <v>5</v>
      </c>
      <c r="F20" s="105">
        <v>1</v>
      </c>
    </row>
    <row r="21" spans="1:6" ht="30" customHeight="1" x14ac:dyDescent="0.3">
      <c r="A21" s="102" t="s">
        <v>211</v>
      </c>
      <c r="B21" s="87" t="s">
        <v>223</v>
      </c>
      <c r="C21" s="103" t="s">
        <v>224</v>
      </c>
      <c r="D21" s="102" t="s">
        <v>183</v>
      </c>
      <c r="E21" s="124">
        <v>304</v>
      </c>
      <c r="F21" s="105">
        <v>838</v>
      </c>
    </row>
    <row r="22" spans="1:6" ht="30" customHeight="1" x14ac:dyDescent="0.3">
      <c r="A22" s="102" t="s">
        <v>211</v>
      </c>
      <c r="B22" s="87" t="s">
        <v>231</v>
      </c>
      <c r="C22" s="103" t="s">
        <v>232</v>
      </c>
      <c r="D22" s="102" t="s">
        <v>183</v>
      </c>
      <c r="E22" s="124">
        <v>40</v>
      </c>
      <c r="F22" s="105">
        <v>69</v>
      </c>
    </row>
    <row r="23" spans="1:6" ht="30" customHeight="1" x14ac:dyDescent="0.3">
      <c r="A23" s="125" t="s">
        <v>211</v>
      </c>
      <c r="B23" s="126" t="s">
        <v>307</v>
      </c>
      <c r="C23" s="127" t="s">
        <v>308</v>
      </c>
      <c r="D23" s="125" t="s">
        <v>174</v>
      </c>
      <c r="E23" s="124">
        <v>2325</v>
      </c>
      <c r="F23" s="105">
        <v>0</v>
      </c>
    </row>
    <row r="24" spans="1:6" ht="30" customHeight="1" x14ac:dyDescent="0.3">
      <c r="A24" s="102" t="s">
        <v>211</v>
      </c>
      <c r="B24" s="87" t="s">
        <v>225</v>
      </c>
      <c r="C24" s="103" t="s">
        <v>226</v>
      </c>
      <c r="D24" s="102" t="s">
        <v>183</v>
      </c>
      <c r="E24" s="124">
        <v>46</v>
      </c>
      <c r="F24" s="105">
        <v>3</v>
      </c>
    </row>
    <row r="25" spans="1:6" ht="30" customHeight="1" x14ac:dyDescent="0.3">
      <c r="A25" s="102" t="s">
        <v>211</v>
      </c>
      <c r="B25" s="87" t="s">
        <v>227</v>
      </c>
      <c r="C25" s="103" t="s">
        <v>228</v>
      </c>
      <c r="D25" s="102" t="s">
        <v>174</v>
      </c>
      <c r="E25" s="124">
        <v>237680</v>
      </c>
      <c r="F25" s="105">
        <v>10436</v>
      </c>
    </row>
    <row r="26" spans="1:6" ht="45.6" customHeight="1" x14ac:dyDescent="0.3">
      <c r="A26" s="102" t="s">
        <v>211</v>
      </c>
      <c r="B26" s="87" t="s">
        <v>233</v>
      </c>
      <c r="C26" s="103" t="s">
        <v>234</v>
      </c>
      <c r="D26" s="102" t="s">
        <v>183</v>
      </c>
      <c r="E26" s="124">
        <v>5</v>
      </c>
      <c r="F26" s="105">
        <v>1</v>
      </c>
    </row>
    <row r="27" spans="1:6" ht="30" customHeight="1" x14ac:dyDescent="0.3">
      <c r="A27" s="102" t="s">
        <v>211</v>
      </c>
      <c r="B27" s="87" t="s">
        <v>229</v>
      </c>
      <c r="C27" s="103" t="s">
        <v>230</v>
      </c>
      <c r="D27" s="102" t="s">
        <v>174</v>
      </c>
      <c r="E27" s="124">
        <v>138</v>
      </c>
      <c r="F27" s="105">
        <v>0</v>
      </c>
    </row>
    <row r="28" spans="1:6" ht="30" customHeight="1" x14ac:dyDescent="0.3">
      <c r="A28" s="102" t="s">
        <v>211</v>
      </c>
      <c r="B28" s="87" t="s">
        <v>235</v>
      </c>
      <c r="C28" s="103" t="s">
        <v>236</v>
      </c>
      <c r="D28" s="102" t="s">
        <v>183</v>
      </c>
      <c r="E28" s="124">
        <v>4092</v>
      </c>
      <c r="F28" s="105">
        <v>176</v>
      </c>
    </row>
    <row r="29" spans="1:6" ht="30" customHeight="1" x14ac:dyDescent="0.3">
      <c r="A29" s="102" t="s">
        <v>211</v>
      </c>
      <c r="B29" s="87" t="s">
        <v>237</v>
      </c>
      <c r="C29" s="103" t="s">
        <v>238</v>
      </c>
      <c r="D29" s="102" t="s">
        <v>183</v>
      </c>
      <c r="E29" s="124">
        <v>79</v>
      </c>
      <c r="F29" s="105">
        <v>0</v>
      </c>
    </row>
    <row r="30" spans="1:6" ht="30" customHeight="1" x14ac:dyDescent="0.3">
      <c r="A30" s="102" t="s">
        <v>211</v>
      </c>
      <c r="B30" s="87" t="s">
        <v>239</v>
      </c>
      <c r="C30" s="103" t="s">
        <v>240</v>
      </c>
      <c r="D30" s="102" t="s">
        <v>183</v>
      </c>
      <c r="E30" s="124">
        <v>9680</v>
      </c>
      <c r="F30" s="105">
        <v>1322</v>
      </c>
    </row>
    <row r="31" spans="1:6" ht="30" customHeight="1" x14ac:dyDescent="0.3">
      <c r="A31" s="102" t="s">
        <v>211</v>
      </c>
      <c r="B31" s="87" t="s">
        <v>241</v>
      </c>
      <c r="C31" s="103" t="s">
        <v>242</v>
      </c>
      <c r="D31" s="102" t="s">
        <v>183</v>
      </c>
      <c r="E31" s="124">
        <v>384</v>
      </c>
      <c r="F31" s="105">
        <v>0</v>
      </c>
    </row>
    <row r="32" spans="1:6" ht="30" customHeight="1" x14ac:dyDescent="0.3">
      <c r="A32" s="102" t="s">
        <v>211</v>
      </c>
      <c r="B32" s="87" t="s">
        <v>243</v>
      </c>
      <c r="C32" s="103" t="s">
        <v>244</v>
      </c>
      <c r="D32" s="102" t="s">
        <v>174</v>
      </c>
      <c r="E32" s="124">
        <v>2248</v>
      </c>
      <c r="F32" s="105">
        <v>1254</v>
      </c>
    </row>
    <row r="33" spans="1:8" ht="30" customHeight="1" x14ac:dyDescent="0.3">
      <c r="A33" s="102" t="s">
        <v>211</v>
      </c>
      <c r="B33" s="87" t="s">
        <v>245</v>
      </c>
      <c r="C33" s="103" t="s">
        <v>246</v>
      </c>
      <c r="D33" s="102" t="s">
        <v>183</v>
      </c>
      <c r="E33" s="124">
        <v>3</v>
      </c>
      <c r="F33" s="105">
        <v>0</v>
      </c>
    </row>
    <row r="34" spans="1:8" ht="30" customHeight="1" x14ac:dyDescent="0.3">
      <c r="A34" s="102" t="s">
        <v>211</v>
      </c>
      <c r="B34" s="87" t="s">
        <v>247</v>
      </c>
      <c r="C34" s="103" t="s">
        <v>248</v>
      </c>
      <c r="D34" s="102" t="s">
        <v>183</v>
      </c>
      <c r="E34" s="124">
        <v>42</v>
      </c>
      <c r="F34" s="105">
        <v>1</v>
      </c>
    </row>
    <row r="35" spans="1:8" ht="30" customHeight="1" x14ac:dyDescent="0.3">
      <c r="A35" s="102" t="s">
        <v>211</v>
      </c>
      <c r="B35" s="87" t="s">
        <v>259</v>
      </c>
      <c r="C35" s="103" t="s">
        <v>260</v>
      </c>
      <c r="D35" s="102" t="s">
        <v>183</v>
      </c>
      <c r="E35" s="124">
        <v>9268</v>
      </c>
      <c r="F35" s="105">
        <v>400</v>
      </c>
    </row>
    <row r="36" spans="1:8" ht="30" customHeight="1" x14ac:dyDescent="0.3">
      <c r="A36" s="102" t="s">
        <v>211</v>
      </c>
      <c r="B36" s="87" t="s">
        <v>261</v>
      </c>
      <c r="C36" s="103" t="s">
        <v>262</v>
      </c>
      <c r="D36" s="102" t="s">
        <v>183</v>
      </c>
      <c r="E36" s="124">
        <v>86</v>
      </c>
      <c r="F36" s="105">
        <v>1</v>
      </c>
    </row>
    <row r="37" spans="1:8" ht="30" customHeight="1" x14ac:dyDescent="0.3">
      <c r="A37" s="102" t="s">
        <v>211</v>
      </c>
      <c r="B37" s="87" t="s">
        <v>263</v>
      </c>
      <c r="C37" s="103" t="s">
        <v>264</v>
      </c>
      <c r="D37" s="102" t="s">
        <v>183</v>
      </c>
      <c r="E37" s="124">
        <v>3</v>
      </c>
      <c r="F37" s="105">
        <v>0</v>
      </c>
    </row>
    <row r="38" spans="1:8" ht="30" customHeight="1" x14ac:dyDescent="0.3">
      <c r="A38" s="102" t="s">
        <v>211</v>
      </c>
      <c r="B38" s="87" t="s">
        <v>265</v>
      </c>
      <c r="C38" s="103" t="s">
        <v>266</v>
      </c>
      <c r="D38" s="102" t="s">
        <v>183</v>
      </c>
      <c r="E38" s="124">
        <v>6673</v>
      </c>
      <c r="F38" s="105">
        <v>392</v>
      </c>
    </row>
    <row r="39" spans="1:8" ht="49.2" customHeight="1" x14ac:dyDescent="0.3">
      <c r="A39" s="102" t="s">
        <v>211</v>
      </c>
      <c r="B39" s="87" t="s">
        <v>249</v>
      </c>
      <c r="C39" s="103" t="s">
        <v>250</v>
      </c>
      <c r="D39" s="102" t="s">
        <v>183</v>
      </c>
      <c r="E39" s="124">
        <v>322</v>
      </c>
      <c r="F39" s="105">
        <v>13</v>
      </c>
    </row>
    <row r="40" spans="1:8" ht="30" customHeight="1" x14ac:dyDescent="0.3">
      <c r="A40" s="102" t="s">
        <v>211</v>
      </c>
      <c r="B40" s="87" t="s">
        <v>251</v>
      </c>
      <c r="C40" s="103" t="s">
        <v>252</v>
      </c>
      <c r="D40" s="102" t="s">
        <v>174</v>
      </c>
      <c r="E40" s="124">
        <v>2315076</v>
      </c>
      <c r="F40" s="105">
        <v>105192</v>
      </c>
    </row>
    <row r="41" spans="1:8" ht="30" customHeight="1" x14ac:dyDescent="0.3">
      <c r="A41" s="102" t="s">
        <v>211</v>
      </c>
      <c r="B41" s="87" t="s">
        <v>253</v>
      </c>
      <c r="C41" s="103" t="s">
        <v>254</v>
      </c>
      <c r="D41" s="102" t="s">
        <v>183</v>
      </c>
      <c r="E41" s="124">
        <v>170</v>
      </c>
      <c r="F41" s="105">
        <v>5</v>
      </c>
    </row>
    <row r="42" spans="1:8" ht="30" customHeight="1" x14ac:dyDescent="0.3">
      <c r="A42" s="102" t="s">
        <v>211</v>
      </c>
      <c r="B42" s="87" t="s">
        <v>255</v>
      </c>
      <c r="C42" s="103" t="s">
        <v>256</v>
      </c>
      <c r="D42" s="102" t="s">
        <v>183</v>
      </c>
      <c r="E42" s="124">
        <v>62</v>
      </c>
      <c r="F42" s="105">
        <v>1</v>
      </c>
    </row>
    <row r="43" spans="1:8" ht="52.95" customHeight="1" x14ac:dyDescent="0.3">
      <c r="A43" s="102" t="s">
        <v>211</v>
      </c>
      <c r="B43" s="87" t="s">
        <v>257</v>
      </c>
      <c r="C43" s="103" t="s">
        <v>258</v>
      </c>
      <c r="D43" s="102" t="s">
        <v>183</v>
      </c>
      <c r="E43" s="124">
        <v>7</v>
      </c>
      <c r="F43" s="105">
        <v>0</v>
      </c>
    </row>
    <row r="44" spans="1:8" ht="30" customHeight="1" x14ac:dyDescent="0.3">
      <c r="A44" s="102" t="s">
        <v>267</v>
      </c>
      <c r="B44" s="87" t="s">
        <v>268</v>
      </c>
      <c r="C44" s="103" t="s">
        <v>269</v>
      </c>
      <c r="D44" s="102" t="s">
        <v>183</v>
      </c>
      <c r="E44" s="124">
        <v>549</v>
      </c>
      <c r="F44" s="105">
        <v>0</v>
      </c>
    </row>
    <row r="45" spans="1:8" ht="30" customHeight="1" x14ac:dyDescent="0.3">
      <c r="A45" s="102" t="s">
        <v>267</v>
      </c>
      <c r="B45" s="87" t="s">
        <v>270</v>
      </c>
      <c r="C45" s="103" t="s">
        <v>271</v>
      </c>
      <c r="D45" s="102" t="s">
        <v>183</v>
      </c>
      <c r="E45" s="124">
        <v>56</v>
      </c>
      <c r="F45" s="105">
        <v>0</v>
      </c>
    </row>
    <row r="46" spans="1:8" ht="30" customHeight="1" x14ac:dyDescent="0.3">
      <c r="A46" s="102" t="s">
        <v>267</v>
      </c>
      <c r="B46" s="87" t="s">
        <v>272</v>
      </c>
      <c r="C46" s="103" t="s">
        <v>273</v>
      </c>
      <c r="D46" s="102" t="s">
        <v>183</v>
      </c>
      <c r="E46" s="124">
        <v>38</v>
      </c>
      <c r="F46" s="105">
        <v>0</v>
      </c>
    </row>
    <row r="47" spans="1:8" ht="30" customHeight="1" x14ac:dyDescent="0.3">
      <c r="A47" s="102" t="s">
        <v>267</v>
      </c>
      <c r="B47" s="87" t="s">
        <v>275</v>
      </c>
      <c r="C47" s="103" t="s">
        <v>276</v>
      </c>
      <c r="D47" s="102" t="s">
        <v>183</v>
      </c>
      <c r="E47" s="124">
        <v>113</v>
      </c>
      <c r="F47" s="105">
        <v>3</v>
      </c>
    </row>
    <row r="48" spans="1:8" ht="30" customHeight="1" x14ac:dyDescent="0.3">
      <c r="A48" s="102" t="s">
        <v>267</v>
      </c>
      <c r="B48" s="87" t="s">
        <v>209</v>
      </c>
      <c r="C48" s="103" t="s">
        <v>210</v>
      </c>
      <c r="D48" s="102" t="s">
        <v>183</v>
      </c>
      <c r="E48" s="124">
        <v>5</v>
      </c>
      <c r="F48" s="105">
        <v>1</v>
      </c>
      <c r="G48" s="90"/>
      <c r="H48" s="90"/>
    </row>
    <row r="49" spans="7:8" s="90" customFormat="1" ht="14.4" x14ac:dyDescent="0.3">
      <c r="G49"/>
      <c r="H49"/>
    </row>
    <row r="50" spans="7:8" ht="14.4" hidden="1" x14ac:dyDescent="0.3"/>
    <row r="51" spans="7:8" ht="14.4" hidden="1" x14ac:dyDescent="0.3"/>
    <row r="52" spans="7:8" ht="14.4" hidden="1" x14ac:dyDescent="0.3"/>
    <row r="53" spans="7:8" ht="14.4" hidden="1" x14ac:dyDescent="0.3"/>
    <row r="54" spans="7:8" ht="14.4" hidden="1" x14ac:dyDescent="0.3"/>
    <row r="55" spans="7:8" ht="14.4" hidden="1" x14ac:dyDescent="0.3"/>
    <row r="56" spans="7:8" ht="14.4" hidden="1" x14ac:dyDescent="0.3"/>
    <row r="57" spans="7:8" ht="14.4" hidden="1" x14ac:dyDescent="0.3"/>
    <row r="58" spans="7:8" ht="14.4" hidden="1" x14ac:dyDescent="0.3"/>
    <row r="59" spans="7:8" ht="14.4" hidden="1" x14ac:dyDescent="0.3"/>
    <row r="60" spans="7:8" ht="14.4" hidden="1" x14ac:dyDescent="0.3"/>
    <row r="61" spans="7:8" ht="14.4" hidden="1" x14ac:dyDescent="0.3"/>
    <row r="62" spans="7:8" ht="14.4" hidden="1" x14ac:dyDescent="0.3"/>
    <row r="63" spans="7:8" ht="14.4" hidden="1" x14ac:dyDescent="0.3"/>
    <row r="64" spans="7:8" ht="14.4" hidden="1" x14ac:dyDescent="0.3"/>
    <row r="65" ht="14.4" hidden="1" x14ac:dyDescent="0.3"/>
    <row r="66" ht="14.4" hidden="1" x14ac:dyDescent="0.3"/>
    <row r="67" ht="14.4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5" customHeight="1" x14ac:dyDescent="0.3"/>
    <row r="127" ht="15" customHeight="1" x14ac:dyDescent="0.3"/>
  </sheetData>
  <mergeCells count="6">
    <mergeCell ref="B1:C1"/>
    <mergeCell ref="E2:E3"/>
    <mergeCell ref="F2:F3"/>
    <mergeCell ref="A2:A3"/>
    <mergeCell ref="B2:C2"/>
    <mergeCell ref="D2:D3"/>
  </mergeCells>
  <pageMargins left="0.70866141732283472" right="0.70866141732283472" top="0.74803149606299213" bottom="0.74803149606299213" header="0.31496062992125984" footer="0.31496062992125984"/>
  <pageSetup paperSize="9" scale="46" fitToHeight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WZ51"/>
  <sheetViews>
    <sheetView showGridLines="0" topLeftCell="A21" zoomScale="50" zoomScaleNormal="50" zoomScaleSheetLayoutView="40" workbookViewId="0">
      <selection activeCell="O45" sqref="O45"/>
    </sheetView>
  </sheetViews>
  <sheetFormatPr defaultColWidth="0" defaultRowHeight="0" customHeight="1" zeroHeight="1" x14ac:dyDescent="0.3"/>
  <cols>
    <col min="1" max="1" width="19.5546875" style="265" customWidth="1"/>
    <col min="2" max="2" width="40.44140625" style="265" customWidth="1"/>
    <col min="3" max="3" width="26" style="266" customWidth="1"/>
    <col min="4" max="4" width="10.6640625" style="265" customWidth="1"/>
    <col min="5" max="5" width="12.5546875" style="265" customWidth="1"/>
    <col min="6" max="7" width="12" style="265" customWidth="1"/>
    <col min="8" max="9" width="10.6640625" style="265" customWidth="1"/>
    <col min="10" max="10" width="11" style="265" customWidth="1"/>
    <col min="11" max="19" width="10.6640625" style="265" customWidth="1"/>
    <col min="20" max="20" width="13.109375" style="265" customWidth="1"/>
    <col min="21" max="31" width="9.109375" style="265" customWidth="1"/>
    <col min="32" max="32" width="11.33203125" style="265" customWidth="1"/>
    <col min="33" max="34" width="9.109375" style="265" customWidth="1"/>
    <col min="35" max="252" width="9.109375" style="265" hidden="1"/>
    <col min="253" max="253" width="26.5546875" style="265" hidden="1"/>
    <col min="254" max="254" width="15.6640625" style="265" hidden="1"/>
    <col min="255" max="255" width="33.6640625" style="265" hidden="1"/>
    <col min="256" max="256" width="26" style="265" hidden="1"/>
    <col min="257" max="257" width="10.6640625" style="265" hidden="1"/>
    <col min="258" max="258" width="12.5546875" style="265" hidden="1"/>
    <col min="259" max="260" width="12" style="265" hidden="1"/>
    <col min="261" max="262" width="10.6640625" style="265" hidden="1"/>
    <col min="263" max="263" width="11" style="265" hidden="1"/>
    <col min="264" max="272" width="10.6640625" style="265" hidden="1"/>
    <col min="273" max="273" width="13.109375" style="265" hidden="1"/>
    <col min="274" max="276" width="9.109375" style="265" hidden="1"/>
    <col min="277" max="286" width="0" style="265" hidden="1"/>
    <col min="287" max="287" width="11.33203125" style="265" hidden="1"/>
    <col min="288" max="288" width="12" style="265" hidden="1"/>
    <col min="289" max="508" width="9.109375" style="265" hidden="1"/>
    <col min="509" max="509" width="26.5546875" style="265" hidden="1"/>
    <col min="510" max="510" width="15.6640625" style="265" hidden="1"/>
    <col min="511" max="511" width="33.6640625" style="265" hidden="1"/>
    <col min="512" max="512" width="26" style="265" hidden="1"/>
    <col min="513" max="513" width="10.6640625" style="265" hidden="1"/>
    <col min="514" max="514" width="12.5546875" style="265" hidden="1"/>
    <col min="515" max="516" width="12" style="265" hidden="1"/>
    <col min="517" max="518" width="10.6640625" style="265" hidden="1"/>
    <col min="519" max="519" width="11" style="265" hidden="1"/>
    <col min="520" max="528" width="10.6640625" style="265" hidden="1"/>
    <col min="529" max="529" width="13.109375" style="265" hidden="1"/>
    <col min="530" max="532" width="9.109375" style="265" hidden="1"/>
    <col min="533" max="542" width="0" style="265" hidden="1"/>
    <col min="543" max="543" width="11.33203125" style="265" hidden="1"/>
    <col min="544" max="544" width="12" style="265" hidden="1"/>
    <col min="545" max="764" width="9.109375" style="265" hidden="1"/>
    <col min="765" max="765" width="26.5546875" style="265" hidden="1"/>
    <col min="766" max="766" width="15.6640625" style="265" hidden="1"/>
    <col min="767" max="767" width="33.6640625" style="265" hidden="1"/>
    <col min="768" max="768" width="26" style="265" hidden="1"/>
    <col min="769" max="769" width="10.6640625" style="265" hidden="1"/>
    <col min="770" max="770" width="12.5546875" style="265" hidden="1"/>
    <col min="771" max="772" width="12" style="265" hidden="1"/>
    <col min="773" max="774" width="10.6640625" style="265" hidden="1"/>
    <col min="775" max="775" width="11" style="265" hidden="1"/>
    <col min="776" max="784" width="10.6640625" style="265" hidden="1"/>
    <col min="785" max="785" width="13.109375" style="265" hidden="1"/>
    <col min="786" max="788" width="9.109375" style="265" hidden="1"/>
    <col min="789" max="798" width="0" style="265" hidden="1"/>
    <col min="799" max="799" width="11.33203125" style="265" hidden="1"/>
    <col min="800" max="800" width="12" style="265" hidden="1"/>
    <col min="801" max="1020" width="9.109375" style="265" hidden="1"/>
    <col min="1021" max="1021" width="26.5546875" style="265" hidden="1"/>
    <col min="1022" max="1022" width="15.6640625" style="265" hidden="1"/>
    <col min="1023" max="1023" width="33.6640625" style="265" hidden="1"/>
    <col min="1024" max="1024" width="26" style="265" hidden="1"/>
    <col min="1025" max="1025" width="10.6640625" style="265" hidden="1"/>
    <col min="1026" max="1026" width="12.5546875" style="265" hidden="1"/>
    <col min="1027" max="1028" width="12" style="265" hidden="1"/>
    <col min="1029" max="1030" width="10.6640625" style="265" hidden="1"/>
    <col min="1031" max="1031" width="11" style="265" hidden="1"/>
    <col min="1032" max="1040" width="10.6640625" style="265" hidden="1"/>
    <col min="1041" max="1041" width="13.109375" style="265" hidden="1"/>
    <col min="1042" max="1044" width="9.109375" style="265" hidden="1"/>
    <col min="1045" max="1054" width="0" style="265" hidden="1"/>
    <col min="1055" max="1055" width="11.33203125" style="265" hidden="1"/>
    <col min="1056" max="1056" width="12" style="265" hidden="1"/>
    <col min="1057" max="1276" width="9.109375" style="265" hidden="1"/>
    <col min="1277" max="1277" width="26.5546875" style="265" hidden="1"/>
    <col min="1278" max="1278" width="15.6640625" style="265" hidden="1"/>
    <col min="1279" max="1279" width="33.6640625" style="265" hidden="1"/>
    <col min="1280" max="1280" width="26" style="265" hidden="1"/>
    <col min="1281" max="1281" width="10.6640625" style="265" hidden="1"/>
    <col min="1282" max="1282" width="12.5546875" style="265" hidden="1"/>
    <col min="1283" max="1284" width="12" style="265" hidden="1"/>
    <col min="1285" max="1286" width="10.6640625" style="265" hidden="1"/>
    <col min="1287" max="1287" width="11" style="265" hidden="1"/>
    <col min="1288" max="1296" width="10.6640625" style="265" hidden="1"/>
    <col min="1297" max="1297" width="13.109375" style="265" hidden="1"/>
    <col min="1298" max="1300" width="9.109375" style="265" hidden="1"/>
    <col min="1301" max="1310" width="0" style="265" hidden="1"/>
    <col min="1311" max="1311" width="11.33203125" style="265" hidden="1"/>
    <col min="1312" max="1312" width="12" style="265" hidden="1"/>
    <col min="1313" max="1532" width="9.109375" style="265" hidden="1"/>
    <col min="1533" max="1533" width="26.5546875" style="265" hidden="1"/>
    <col min="1534" max="1534" width="15.6640625" style="265" hidden="1"/>
    <col min="1535" max="1535" width="33.6640625" style="265" hidden="1"/>
    <col min="1536" max="1536" width="26" style="265" hidden="1"/>
    <col min="1537" max="1537" width="10.6640625" style="265" hidden="1"/>
    <col min="1538" max="1538" width="12.5546875" style="265" hidden="1"/>
    <col min="1539" max="1540" width="12" style="265" hidden="1"/>
    <col min="1541" max="1542" width="10.6640625" style="265" hidden="1"/>
    <col min="1543" max="1543" width="11" style="265" hidden="1"/>
    <col min="1544" max="1552" width="10.6640625" style="265" hidden="1"/>
    <col min="1553" max="1553" width="13.109375" style="265" hidden="1"/>
    <col min="1554" max="1556" width="9.109375" style="265" hidden="1"/>
    <col min="1557" max="1566" width="0" style="265" hidden="1"/>
    <col min="1567" max="1567" width="11.33203125" style="265" hidden="1"/>
    <col min="1568" max="1568" width="12" style="265" hidden="1"/>
    <col min="1569" max="1788" width="9.109375" style="265" hidden="1"/>
    <col min="1789" max="1789" width="26.5546875" style="265" hidden="1"/>
    <col min="1790" max="1790" width="15.6640625" style="265" hidden="1"/>
    <col min="1791" max="1791" width="33.6640625" style="265" hidden="1"/>
    <col min="1792" max="1792" width="26" style="265" hidden="1"/>
    <col min="1793" max="1793" width="10.6640625" style="265" hidden="1"/>
    <col min="1794" max="1794" width="12.5546875" style="265" hidden="1"/>
    <col min="1795" max="1796" width="12" style="265" hidden="1"/>
    <col min="1797" max="1798" width="10.6640625" style="265" hidden="1"/>
    <col min="1799" max="1799" width="11" style="265" hidden="1"/>
    <col min="1800" max="1808" width="10.6640625" style="265" hidden="1"/>
    <col min="1809" max="1809" width="13.109375" style="265" hidden="1"/>
    <col min="1810" max="1812" width="9.109375" style="265" hidden="1"/>
    <col min="1813" max="1822" width="0" style="265" hidden="1"/>
    <col min="1823" max="1823" width="11.33203125" style="265" hidden="1"/>
    <col min="1824" max="1824" width="12" style="265" hidden="1"/>
    <col min="1825" max="2044" width="9.109375" style="265" hidden="1"/>
    <col min="2045" max="2045" width="26.5546875" style="265" hidden="1"/>
    <col min="2046" max="2046" width="15.6640625" style="265" hidden="1"/>
    <col min="2047" max="2047" width="33.6640625" style="265" hidden="1"/>
    <col min="2048" max="2048" width="26" style="265" hidden="1"/>
    <col min="2049" max="2049" width="10.6640625" style="265" hidden="1"/>
    <col min="2050" max="2050" width="12.5546875" style="265" hidden="1"/>
    <col min="2051" max="2052" width="12" style="265" hidden="1"/>
    <col min="2053" max="2054" width="10.6640625" style="265" hidden="1"/>
    <col min="2055" max="2055" width="11" style="265" hidden="1"/>
    <col min="2056" max="2064" width="10.6640625" style="265" hidden="1"/>
    <col min="2065" max="2065" width="13.109375" style="265" hidden="1"/>
    <col min="2066" max="2068" width="9.109375" style="265" hidden="1"/>
    <col min="2069" max="2078" width="0" style="265" hidden="1"/>
    <col min="2079" max="2079" width="11.33203125" style="265" hidden="1"/>
    <col min="2080" max="2080" width="12" style="265" hidden="1"/>
    <col min="2081" max="2300" width="9.109375" style="265" hidden="1"/>
    <col min="2301" max="2301" width="26.5546875" style="265" hidden="1"/>
    <col min="2302" max="2302" width="15.6640625" style="265" hidden="1"/>
    <col min="2303" max="2303" width="33.6640625" style="265" hidden="1"/>
    <col min="2304" max="2304" width="26" style="265" hidden="1"/>
    <col min="2305" max="2305" width="10.6640625" style="265" hidden="1"/>
    <col min="2306" max="2306" width="12.5546875" style="265" hidden="1"/>
    <col min="2307" max="2308" width="12" style="265" hidden="1"/>
    <col min="2309" max="2310" width="10.6640625" style="265" hidden="1"/>
    <col min="2311" max="2311" width="11" style="265" hidden="1"/>
    <col min="2312" max="2320" width="10.6640625" style="265" hidden="1"/>
    <col min="2321" max="2321" width="13.109375" style="265" hidden="1"/>
    <col min="2322" max="2324" width="9.109375" style="265" hidden="1"/>
    <col min="2325" max="2334" width="0" style="265" hidden="1"/>
    <col min="2335" max="2335" width="11.33203125" style="265" hidden="1"/>
    <col min="2336" max="2336" width="12" style="265" hidden="1"/>
    <col min="2337" max="2556" width="9.109375" style="265" hidden="1"/>
    <col min="2557" max="2557" width="26.5546875" style="265" hidden="1"/>
    <col min="2558" max="2558" width="15.6640625" style="265" hidden="1"/>
    <col min="2559" max="2559" width="33.6640625" style="265" hidden="1"/>
    <col min="2560" max="2560" width="26" style="265" hidden="1"/>
    <col min="2561" max="2561" width="10.6640625" style="265" hidden="1"/>
    <col min="2562" max="2562" width="12.5546875" style="265" hidden="1"/>
    <col min="2563" max="2564" width="12" style="265" hidden="1"/>
    <col min="2565" max="2566" width="10.6640625" style="265" hidden="1"/>
    <col min="2567" max="2567" width="11" style="265" hidden="1"/>
    <col min="2568" max="2576" width="10.6640625" style="265" hidden="1"/>
    <col min="2577" max="2577" width="13.109375" style="265" hidden="1"/>
    <col min="2578" max="2580" width="9.109375" style="265" hidden="1"/>
    <col min="2581" max="2590" width="0" style="265" hidden="1"/>
    <col min="2591" max="2591" width="11.33203125" style="265" hidden="1"/>
    <col min="2592" max="2592" width="12" style="265" hidden="1"/>
    <col min="2593" max="2812" width="9.109375" style="265" hidden="1"/>
    <col min="2813" max="2813" width="26.5546875" style="265" hidden="1"/>
    <col min="2814" max="2814" width="15.6640625" style="265" hidden="1"/>
    <col min="2815" max="2815" width="33.6640625" style="265" hidden="1"/>
    <col min="2816" max="2816" width="26" style="265" hidden="1"/>
    <col min="2817" max="2817" width="10.6640625" style="265" hidden="1"/>
    <col min="2818" max="2818" width="12.5546875" style="265" hidden="1"/>
    <col min="2819" max="2820" width="12" style="265" hidden="1"/>
    <col min="2821" max="2822" width="10.6640625" style="265" hidden="1"/>
    <col min="2823" max="2823" width="11" style="265" hidden="1"/>
    <col min="2824" max="2832" width="10.6640625" style="265" hidden="1"/>
    <col min="2833" max="2833" width="13.109375" style="265" hidden="1"/>
    <col min="2834" max="2836" width="9.109375" style="265" hidden="1"/>
    <col min="2837" max="2846" width="0" style="265" hidden="1"/>
    <col min="2847" max="2847" width="11.33203125" style="265" hidden="1"/>
    <col min="2848" max="2848" width="12" style="265" hidden="1"/>
    <col min="2849" max="3068" width="9.109375" style="265" hidden="1"/>
    <col min="3069" max="3069" width="26.5546875" style="265" hidden="1"/>
    <col min="3070" max="3070" width="15.6640625" style="265" hidden="1"/>
    <col min="3071" max="3071" width="33.6640625" style="265" hidden="1"/>
    <col min="3072" max="3072" width="26" style="265" hidden="1"/>
    <col min="3073" max="3073" width="10.6640625" style="265" hidden="1"/>
    <col min="3074" max="3074" width="12.5546875" style="265" hidden="1"/>
    <col min="3075" max="3076" width="12" style="265" hidden="1"/>
    <col min="3077" max="3078" width="10.6640625" style="265" hidden="1"/>
    <col min="3079" max="3079" width="11" style="265" hidden="1"/>
    <col min="3080" max="3088" width="10.6640625" style="265" hidden="1"/>
    <col min="3089" max="3089" width="13.109375" style="265" hidden="1"/>
    <col min="3090" max="3092" width="9.109375" style="265" hidden="1"/>
    <col min="3093" max="3102" width="0" style="265" hidden="1"/>
    <col min="3103" max="3103" width="11.33203125" style="265" hidden="1"/>
    <col min="3104" max="3104" width="12" style="265" hidden="1"/>
    <col min="3105" max="3324" width="9.109375" style="265" hidden="1"/>
    <col min="3325" max="3325" width="26.5546875" style="265" hidden="1"/>
    <col min="3326" max="3326" width="15.6640625" style="265" hidden="1"/>
    <col min="3327" max="3327" width="33.6640625" style="265" hidden="1"/>
    <col min="3328" max="3328" width="26" style="265" hidden="1"/>
    <col min="3329" max="3329" width="10.6640625" style="265" hidden="1"/>
    <col min="3330" max="3330" width="12.5546875" style="265" hidden="1"/>
    <col min="3331" max="3332" width="12" style="265" hidden="1"/>
    <col min="3333" max="3334" width="10.6640625" style="265" hidden="1"/>
    <col min="3335" max="3335" width="11" style="265" hidden="1"/>
    <col min="3336" max="3344" width="10.6640625" style="265" hidden="1"/>
    <col min="3345" max="3345" width="13.109375" style="265" hidden="1"/>
    <col min="3346" max="3348" width="9.109375" style="265" hidden="1"/>
    <col min="3349" max="3358" width="0" style="265" hidden="1"/>
    <col min="3359" max="3359" width="11.33203125" style="265" hidden="1"/>
    <col min="3360" max="3360" width="12" style="265" hidden="1"/>
    <col min="3361" max="3580" width="9.109375" style="265" hidden="1"/>
    <col min="3581" max="3581" width="26.5546875" style="265" hidden="1"/>
    <col min="3582" max="3582" width="15.6640625" style="265" hidden="1"/>
    <col min="3583" max="3583" width="33.6640625" style="265" hidden="1"/>
    <col min="3584" max="3584" width="26" style="265" hidden="1"/>
    <col min="3585" max="3585" width="10.6640625" style="265" hidden="1"/>
    <col min="3586" max="3586" width="12.5546875" style="265" hidden="1"/>
    <col min="3587" max="3588" width="12" style="265" hidden="1"/>
    <col min="3589" max="3590" width="10.6640625" style="265" hidden="1"/>
    <col min="3591" max="3591" width="11" style="265" hidden="1"/>
    <col min="3592" max="3600" width="10.6640625" style="265" hidden="1"/>
    <col min="3601" max="3601" width="13.109375" style="265" hidden="1"/>
    <col min="3602" max="3604" width="9.109375" style="265" hidden="1"/>
    <col min="3605" max="3614" width="0" style="265" hidden="1"/>
    <col min="3615" max="3615" width="11.33203125" style="265" hidden="1"/>
    <col min="3616" max="3616" width="12" style="265" hidden="1"/>
    <col min="3617" max="3836" width="9.109375" style="265" hidden="1"/>
    <col min="3837" max="3837" width="26.5546875" style="265" hidden="1"/>
    <col min="3838" max="3838" width="15.6640625" style="265" hidden="1"/>
    <col min="3839" max="3839" width="33.6640625" style="265" hidden="1"/>
    <col min="3840" max="3840" width="26" style="265" hidden="1"/>
    <col min="3841" max="3841" width="10.6640625" style="265" hidden="1"/>
    <col min="3842" max="3842" width="12.5546875" style="265" hidden="1"/>
    <col min="3843" max="3844" width="12" style="265" hidden="1"/>
    <col min="3845" max="3846" width="10.6640625" style="265" hidden="1"/>
    <col min="3847" max="3847" width="11" style="265" hidden="1"/>
    <col min="3848" max="3856" width="10.6640625" style="265" hidden="1"/>
    <col min="3857" max="3857" width="13.109375" style="265" hidden="1"/>
    <col min="3858" max="3860" width="9.109375" style="265" hidden="1"/>
    <col min="3861" max="3870" width="0" style="265" hidden="1"/>
    <col min="3871" max="3871" width="11.33203125" style="265" hidden="1"/>
    <col min="3872" max="3872" width="12" style="265" hidden="1"/>
    <col min="3873" max="4092" width="9.109375" style="265" hidden="1"/>
    <col min="4093" max="4093" width="26.5546875" style="265" hidden="1"/>
    <col min="4094" max="4094" width="15.6640625" style="265" hidden="1"/>
    <col min="4095" max="4095" width="33.6640625" style="265" hidden="1"/>
    <col min="4096" max="4096" width="26" style="265" hidden="1"/>
    <col min="4097" max="4097" width="10.6640625" style="265" hidden="1"/>
    <col min="4098" max="4098" width="12.5546875" style="265" hidden="1"/>
    <col min="4099" max="4100" width="12" style="265" hidden="1"/>
    <col min="4101" max="4102" width="10.6640625" style="265" hidden="1"/>
    <col min="4103" max="4103" width="11" style="265" hidden="1"/>
    <col min="4104" max="4112" width="10.6640625" style="265" hidden="1"/>
    <col min="4113" max="4113" width="13.109375" style="265" hidden="1"/>
    <col min="4114" max="4116" width="9.109375" style="265" hidden="1"/>
    <col min="4117" max="4126" width="0" style="265" hidden="1"/>
    <col min="4127" max="4127" width="11.33203125" style="265" hidden="1"/>
    <col min="4128" max="4128" width="12" style="265" hidden="1"/>
    <col min="4129" max="4348" width="9.109375" style="265" hidden="1"/>
    <col min="4349" max="4349" width="26.5546875" style="265" hidden="1"/>
    <col min="4350" max="4350" width="15.6640625" style="265" hidden="1"/>
    <col min="4351" max="4351" width="33.6640625" style="265" hidden="1"/>
    <col min="4352" max="4352" width="26" style="265" hidden="1"/>
    <col min="4353" max="4353" width="10.6640625" style="265" hidden="1"/>
    <col min="4354" max="4354" width="12.5546875" style="265" hidden="1"/>
    <col min="4355" max="4356" width="12" style="265" hidden="1"/>
    <col min="4357" max="4358" width="10.6640625" style="265" hidden="1"/>
    <col min="4359" max="4359" width="11" style="265" hidden="1"/>
    <col min="4360" max="4368" width="10.6640625" style="265" hidden="1"/>
    <col min="4369" max="4369" width="13.109375" style="265" hidden="1"/>
    <col min="4370" max="4372" width="9.109375" style="265" hidden="1"/>
    <col min="4373" max="4382" width="0" style="265" hidden="1"/>
    <col min="4383" max="4383" width="11.33203125" style="265" hidden="1"/>
    <col min="4384" max="4384" width="12" style="265" hidden="1"/>
    <col min="4385" max="4604" width="9.109375" style="265" hidden="1"/>
    <col min="4605" max="4605" width="26.5546875" style="265" hidden="1"/>
    <col min="4606" max="4606" width="15.6640625" style="265" hidden="1"/>
    <col min="4607" max="4607" width="33.6640625" style="265" hidden="1"/>
    <col min="4608" max="4608" width="26" style="265" hidden="1"/>
    <col min="4609" max="4609" width="10.6640625" style="265" hidden="1"/>
    <col min="4610" max="4610" width="12.5546875" style="265" hidden="1"/>
    <col min="4611" max="4612" width="12" style="265" hidden="1"/>
    <col min="4613" max="4614" width="10.6640625" style="265" hidden="1"/>
    <col min="4615" max="4615" width="11" style="265" hidden="1"/>
    <col min="4616" max="4624" width="10.6640625" style="265" hidden="1"/>
    <col min="4625" max="4625" width="13.109375" style="265" hidden="1"/>
    <col min="4626" max="4628" width="9.109375" style="265" hidden="1"/>
    <col min="4629" max="4638" width="0" style="265" hidden="1"/>
    <col min="4639" max="4639" width="11.33203125" style="265" hidden="1"/>
    <col min="4640" max="4640" width="12" style="265" hidden="1"/>
    <col min="4641" max="4860" width="9.109375" style="265" hidden="1"/>
    <col min="4861" max="4861" width="26.5546875" style="265" hidden="1"/>
    <col min="4862" max="4862" width="15.6640625" style="265" hidden="1"/>
    <col min="4863" max="4863" width="33.6640625" style="265" hidden="1"/>
    <col min="4864" max="4864" width="26" style="265" hidden="1"/>
    <col min="4865" max="4865" width="10.6640625" style="265" hidden="1"/>
    <col min="4866" max="4866" width="12.5546875" style="265" hidden="1"/>
    <col min="4867" max="4868" width="12" style="265" hidden="1"/>
    <col min="4869" max="4870" width="10.6640625" style="265" hidden="1"/>
    <col min="4871" max="4871" width="11" style="265" hidden="1"/>
    <col min="4872" max="4880" width="10.6640625" style="265" hidden="1"/>
    <col min="4881" max="4881" width="13.109375" style="265" hidden="1"/>
    <col min="4882" max="4884" width="9.109375" style="265" hidden="1"/>
    <col min="4885" max="4894" width="0" style="265" hidden="1"/>
    <col min="4895" max="4895" width="11.33203125" style="265" hidden="1"/>
    <col min="4896" max="4896" width="12" style="265" hidden="1"/>
    <col min="4897" max="5116" width="9.109375" style="265" hidden="1"/>
    <col min="5117" max="5117" width="26.5546875" style="265" hidden="1"/>
    <col min="5118" max="5118" width="15.6640625" style="265" hidden="1"/>
    <col min="5119" max="5119" width="33.6640625" style="265" hidden="1"/>
    <col min="5120" max="5120" width="26" style="265" hidden="1"/>
    <col min="5121" max="5121" width="10.6640625" style="265" hidden="1"/>
    <col min="5122" max="5122" width="12.5546875" style="265" hidden="1"/>
    <col min="5123" max="5124" width="12" style="265" hidden="1"/>
    <col min="5125" max="5126" width="10.6640625" style="265" hidden="1"/>
    <col min="5127" max="5127" width="11" style="265" hidden="1"/>
    <col min="5128" max="5136" width="10.6640625" style="265" hidden="1"/>
    <col min="5137" max="5137" width="13.109375" style="265" hidden="1"/>
    <col min="5138" max="5140" width="9.109375" style="265" hidden="1"/>
    <col min="5141" max="5150" width="0" style="265" hidden="1"/>
    <col min="5151" max="5151" width="11.33203125" style="265" hidden="1"/>
    <col min="5152" max="5152" width="12" style="265" hidden="1"/>
    <col min="5153" max="5372" width="9.109375" style="265" hidden="1"/>
    <col min="5373" max="5373" width="26.5546875" style="265" hidden="1"/>
    <col min="5374" max="5374" width="15.6640625" style="265" hidden="1"/>
    <col min="5375" max="5375" width="33.6640625" style="265" hidden="1"/>
    <col min="5376" max="5376" width="26" style="265" hidden="1"/>
    <col min="5377" max="5377" width="10.6640625" style="265" hidden="1"/>
    <col min="5378" max="5378" width="12.5546875" style="265" hidden="1"/>
    <col min="5379" max="5380" width="12" style="265" hidden="1"/>
    <col min="5381" max="5382" width="10.6640625" style="265" hidden="1"/>
    <col min="5383" max="5383" width="11" style="265" hidden="1"/>
    <col min="5384" max="5392" width="10.6640625" style="265" hidden="1"/>
    <col min="5393" max="5393" width="13.109375" style="265" hidden="1"/>
    <col min="5394" max="5396" width="9.109375" style="265" hidden="1"/>
    <col min="5397" max="5406" width="0" style="265" hidden="1"/>
    <col min="5407" max="5407" width="11.33203125" style="265" hidden="1"/>
    <col min="5408" max="5408" width="12" style="265" hidden="1"/>
    <col min="5409" max="5628" width="9.109375" style="265" hidden="1"/>
    <col min="5629" max="5629" width="26.5546875" style="265" hidden="1"/>
    <col min="5630" max="5630" width="15.6640625" style="265" hidden="1"/>
    <col min="5631" max="5631" width="33.6640625" style="265" hidden="1"/>
    <col min="5632" max="5632" width="26" style="265" hidden="1"/>
    <col min="5633" max="5633" width="10.6640625" style="265" hidden="1"/>
    <col min="5634" max="5634" width="12.5546875" style="265" hidden="1"/>
    <col min="5635" max="5636" width="12" style="265" hidden="1"/>
    <col min="5637" max="5638" width="10.6640625" style="265" hidden="1"/>
    <col min="5639" max="5639" width="11" style="265" hidden="1"/>
    <col min="5640" max="5648" width="10.6640625" style="265" hidden="1"/>
    <col min="5649" max="5649" width="13.109375" style="265" hidden="1"/>
    <col min="5650" max="5652" width="9.109375" style="265" hidden="1"/>
    <col min="5653" max="5662" width="0" style="265" hidden="1"/>
    <col min="5663" max="5663" width="11.33203125" style="265" hidden="1"/>
    <col min="5664" max="5664" width="12" style="265" hidden="1"/>
    <col min="5665" max="5884" width="9.109375" style="265" hidden="1"/>
    <col min="5885" max="5885" width="26.5546875" style="265" hidden="1"/>
    <col min="5886" max="5886" width="15.6640625" style="265" hidden="1"/>
    <col min="5887" max="5887" width="33.6640625" style="265" hidden="1"/>
    <col min="5888" max="5888" width="26" style="265" hidden="1"/>
    <col min="5889" max="5889" width="10.6640625" style="265" hidden="1"/>
    <col min="5890" max="5890" width="12.5546875" style="265" hidden="1"/>
    <col min="5891" max="5892" width="12" style="265" hidden="1"/>
    <col min="5893" max="5894" width="10.6640625" style="265" hidden="1"/>
    <col min="5895" max="5895" width="11" style="265" hidden="1"/>
    <col min="5896" max="5904" width="10.6640625" style="265" hidden="1"/>
    <col min="5905" max="5905" width="13.109375" style="265" hidden="1"/>
    <col min="5906" max="5908" width="9.109375" style="265" hidden="1"/>
    <col min="5909" max="5918" width="0" style="265" hidden="1"/>
    <col min="5919" max="5919" width="11.33203125" style="265" hidden="1"/>
    <col min="5920" max="5920" width="12" style="265" hidden="1"/>
    <col min="5921" max="6140" width="9.109375" style="265" hidden="1"/>
    <col min="6141" max="6141" width="26.5546875" style="265" hidden="1"/>
    <col min="6142" max="6142" width="15.6640625" style="265" hidden="1"/>
    <col min="6143" max="6143" width="33.6640625" style="265" hidden="1"/>
    <col min="6144" max="6144" width="26" style="265" hidden="1"/>
    <col min="6145" max="6145" width="10.6640625" style="265" hidden="1"/>
    <col min="6146" max="6146" width="12.5546875" style="265" hidden="1"/>
    <col min="6147" max="6148" width="12" style="265" hidden="1"/>
    <col min="6149" max="6150" width="10.6640625" style="265" hidden="1"/>
    <col min="6151" max="6151" width="11" style="265" hidden="1"/>
    <col min="6152" max="6160" width="10.6640625" style="265" hidden="1"/>
    <col min="6161" max="6161" width="13.109375" style="265" hidden="1"/>
    <col min="6162" max="6164" width="9.109375" style="265" hidden="1"/>
    <col min="6165" max="6174" width="0" style="265" hidden="1"/>
    <col min="6175" max="6175" width="11.33203125" style="265" hidden="1"/>
    <col min="6176" max="6176" width="12" style="265" hidden="1"/>
    <col min="6177" max="6396" width="9.109375" style="265" hidden="1"/>
    <col min="6397" max="6397" width="26.5546875" style="265" hidden="1"/>
    <col min="6398" max="6398" width="15.6640625" style="265" hidden="1"/>
    <col min="6399" max="6399" width="33.6640625" style="265" hidden="1"/>
    <col min="6400" max="6400" width="26" style="265" hidden="1"/>
    <col min="6401" max="6401" width="10.6640625" style="265" hidden="1"/>
    <col min="6402" max="6402" width="12.5546875" style="265" hidden="1"/>
    <col min="6403" max="6404" width="12" style="265" hidden="1"/>
    <col min="6405" max="6406" width="10.6640625" style="265" hidden="1"/>
    <col min="6407" max="6407" width="11" style="265" hidden="1"/>
    <col min="6408" max="6416" width="10.6640625" style="265" hidden="1"/>
    <col min="6417" max="6417" width="13.109375" style="265" hidden="1"/>
    <col min="6418" max="6420" width="9.109375" style="265" hidden="1"/>
    <col min="6421" max="6430" width="0" style="265" hidden="1"/>
    <col min="6431" max="6431" width="11.33203125" style="265" hidden="1"/>
    <col min="6432" max="6432" width="12" style="265" hidden="1"/>
    <col min="6433" max="6652" width="9.109375" style="265" hidden="1"/>
    <col min="6653" max="6653" width="26.5546875" style="265" hidden="1"/>
    <col min="6654" max="6654" width="15.6640625" style="265" hidden="1"/>
    <col min="6655" max="6655" width="33.6640625" style="265" hidden="1"/>
    <col min="6656" max="6656" width="26" style="265" hidden="1"/>
    <col min="6657" max="6657" width="10.6640625" style="265" hidden="1"/>
    <col min="6658" max="6658" width="12.5546875" style="265" hidden="1"/>
    <col min="6659" max="6660" width="12" style="265" hidden="1"/>
    <col min="6661" max="6662" width="10.6640625" style="265" hidden="1"/>
    <col min="6663" max="6663" width="11" style="265" hidden="1"/>
    <col min="6664" max="6672" width="10.6640625" style="265" hidden="1"/>
    <col min="6673" max="6673" width="13.109375" style="265" hidden="1"/>
    <col min="6674" max="6676" width="9.109375" style="265" hidden="1"/>
    <col min="6677" max="6686" width="0" style="265" hidden="1"/>
    <col min="6687" max="6687" width="11.33203125" style="265" hidden="1"/>
    <col min="6688" max="6688" width="12" style="265" hidden="1"/>
    <col min="6689" max="6908" width="9.109375" style="265" hidden="1"/>
    <col min="6909" max="6909" width="26.5546875" style="265" hidden="1"/>
    <col min="6910" max="6910" width="15.6640625" style="265" hidden="1"/>
    <col min="6911" max="6911" width="33.6640625" style="265" hidden="1"/>
    <col min="6912" max="6912" width="26" style="265" hidden="1"/>
    <col min="6913" max="6913" width="10.6640625" style="265" hidden="1"/>
    <col min="6914" max="6914" width="12.5546875" style="265" hidden="1"/>
    <col min="6915" max="6916" width="12" style="265" hidden="1"/>
    <col min="6917" max="6918" width="10.6640625" style="265" hidden="1"/>
    <col min="6919" max="6919" width="11" style="265" hidden="1"/>
    <col min="6920" max="6928" width="10.6640625" style="265" hidden="1"/>
    <col min="6929" max="6929" width="13.109375" style="265" hidden="1"/>
    <col min="6930" max="6932" width="9.109375" style="265" hidden="1"/>
    <col min="6933" max="6942" width="0" style="265" hidden="1"/>
    <col min="6943" max="6943" width="11.33203125" style="265" hidden="1"/>
    <col min="6944" max="6944" width="12" style="265" hidden="1"/>
    <col min="6945" max="7164" width="9.109375" style="265" hidden="1"/>
    <col min="7165" max="7165" width="26.5546875" style="265" hidden="1"/>
    <col min="7166" max="7166" width="15.6640625" style="265" hidden="1"/>
    <col min="7167" max="7167" width="33.6640625" style="265" hidden="1"/>
    <col min="7168" max="7168" width="26" style="265" hidden="1"/>
    <col min="7169" max="7169" width="10.6640625" style="265" hidden="1"/>
    <col min="7170" max="7170" width="12.5546875" style="265" hidden="1"/>
    <col min="7171" max="7172" width="12" style="265" hidden="1"/>
    <col min="7173" max="7174" width="10.6640625" style="265" hidden="1"/>
    <col min="7175" max="7175" width="11" style="265" hidden="1"/>
    <col min="7176" max="7184" width="10.6640625" style="265" hidden="1"/>
    <col min="7185" max="7185" width="13.109375" style="265" hidden="1"/>
    <col min="7186" max="7188" width="9.109375" style="265" hidden="1"/>
    <col min="7189" max="7198" width="0" style="265" hidden="1"/>
    <col min="7199" max="7199" width="11.33203125" style="265" hidden="1"/>
    <col min="7200" max="7200" width="12" style="265" hidden="1"/>
    <col min="7201" max="7420" width="9.109375" style="265" hidden="1"/>
    <col min="7421" max="7421" width="26.5546875" style="265" hidden="1"/>
    <col min="7422" max="7422" width="15.6640625" style="265" hidden="1"/>
    <col min="7423" max="7423" width="33.6640625" style="265" hidden="1"/>
    <col min="7424" max="7424" width="26" style="265" hidden="1"/>
    <col min="7425" max="7425" width="10.6640625" style="265" hidden="1"/>
    <col min="7426" max="7426" width="12.5546875" style="265" hidden="1"/>
    <col min="7427" max="7428" width="12" style="265" hidden="1"/>
    <col min="7429" max="7430" width="10.6640625" style="265" hidden="1"/>
    <col min="7431" max="7431" width="11" style="265" hidden="1"/>
    <col min="7432" max="7440" width="10.6640625" style="265" hidden="1"/>
    <col min="7441" max="7441" width="13.109375" style="265" hidden="1"/>
    <col min="7442" max="7444" width="9.109375" style="265" hidden="1"/>
    <col min="7445" max="7454" width="0" style="265" hidden="1"/>
    <col min="7455" max="7455" width="11.33203125" style="265" hidden="1"/>
    <col min="7456" max="7456" width="12" style="265" hidden="1"/>
    <col min="7457" max="7676" width="9.109375" style="265" hidden="1"/>
    <col min="7677" max="7677" width="26.5546875" style="265" hidden="1"/>
    <col min="7678" max="7678" width="15.6640625" style="265" hidden="1"/>
    <col min="7679" max="7679" width="33.6640625" style="265" hidden="1"/>
    <col min="7680" max="7680" width="26" style="265" hidden="1"/>
    <col min="7681" max="7681" width="10.6640625" style="265" hidden="1"/>
    <col min="7682" max="7682" width="12.5546875" style="265" hidden="1"/>
    <col min="7683" max="7684" width="12" style="265" hidden="1"/>
    <col min="7685" max="7686" width="10.6640625" style="265" hidden="1"/>
    <col min="7687" max="7687" width="11" style="265" hidden="1"/>
    <col min="7688" max="7696" width="10.6640625" style="265" hidden="1"/>
    <col min="7697" max="7697" width="13.109375" style="265" hidden="1"/>
    <col min="7698" max="7700" width="9.109375" style="265" hidden="1"/>
    <col min="7701" max="7710" width="0" style="265" hidden="1"/>
    <col min="7711" max="7711" width="11.33203125" style="265" hidden="1"/>
    <col min="7712" max="7712" width="12" style="265" hidden="1"/>
    <col min="7713" max="7932" width="9.109375" style="265" hidden="1"/>
    <col min="7933" max="7933" width="26.5546875" style="265" hidden="1"/>
    <col min="7934" max="7934" width="15.6640625" style="265" hidden="1"/>
    <col min="7935" max="7935" width="33.6640625" style="265" hidden="1"/>
    <col min="7936" max="7936" width="26" style="265" hidden="1"/>
    <col min="7937" max="7937" width="10.6640625" style="265" hidden="1"/>
    <col min="7938" max="7938" width="12.5546875" style="265" hidden="1"/>
    <col min="7939" max="7940" width="12" style="265" hidden="1"/>
    <col min="7941" max="7942" width="10.6640625" style="265" hidden="1"/>
    <col min="7943" max="7943" width="11" style="265" hidden="1"/>
    <col min="7944" max="7952" width="10.6640625" style="265" hidden="1"/>
    <col min="7953" max="7953" width="13.109375" style="265" hidden="1"/>
    <col min="7954" max="7956" width="9.109375" style="265" hidden="1"/>
    <col min="7957" max="7966" width="0" style="265" hidden="1"/>
    <col min="7967" max="7967" width="11.33203125" style="265" hidden="1"/>
    <col min="7968" max="7968" width="12" style="265" hidden="1"/>
    <col min="7969" max="8188" width="9.109375" style="265" hidden="1"/>
    <col min="8189" max="8189" width="26.5546875" style="265" hidden="1"/>
    <col min="8190" max="8190" width="15.6640625" style="265" hidden="1"/>
    <col min="8191" max="8191" width="33.6640625" style="265" hidden="1"/>
    <col min="8192" max="8192" width="26" style="265" hidden="1"/>
    <col min="8193" max="8193" width="10.6640625" style="265" hidden="1"/>
    <col min="8194" max="8194" width="12.5546875" style="265" hidden="1"/>
    <col min="8195" max="8196" width="12" style="265" hidden="1"/>
    <col min="8197" max="8198" width="10.6640625" style="265" hidden="1"/>
    <col min="8199" max="8199" width="11" style="265" hidden="1"/>
    <col min="8200" max="8208" width="10.6640625" style="265" hidden="1"/>
    <col min="8209" max="8209" width="13.109375" style="265" hidden="1"/>
    <col min="8210" max="8212" width="9.109375" style="265" hidden="1"/>
    <col min="8213" max="8222" width="0" style="265" hidden="1"/>
    <col min="8223" max="8223" width="11.33203125" style="265" hidden="1"/>
    <col min="8224" max="8224" width="12" style="265" hidden="1"/>
    <col min="8225" max="8444" width="9.109375" style="265" hidden="1"/>
    <col min="8445" max="8445" width="26.5546875" style="265" hidden="1"/>
    <col min="8446" max="8446" width="15.6640625" style="265" hidden="1"/>
    <col min="8447" max="8447" width="33.6640625" style="265" hidden="1"/>
    <col min="8448" max="8448" width="26" style="265" hidden="1"/>
    <col min="8449" max="8449" width="10.6640625" style="265" hidden="1"/>
    <col min="8450" max="8450" width="12.5546875" style="265" hidden="1"/>
    <col min="8451" max="8452" width="12" style="265" hidden="1"/>
    <col min="8453" max="8454" width="10.6640625" style="265" hidden="1"/>
    <col min="8455" max="8455" width="11" style="265" hidden="1"/>
    <col min="8456" max="8464" width="10.6640625" style="265" hidden="1"/>
    <col min="8465" max="8465" width="13.109375" style="265" hidden="1"/>
    <col min="8466" max="8468" width="9.109375" style="265" hidden="1"/>
    <col min="8469" max="8478" width="0" style="265" hidden="1"/>
    <col min="8479" max="8479" width="11.33203125" style="265" hidden="1"/>
    <col min="8480" max="8480" width="12" style="265" hidden="1"/>
    <col min="8481" max="8700" width="9.109375" style="265" hidden="1"/>
    <col min="8701" max="8701" width="26.5546875" style="265" hidden="1"/>
    <col min="8702" max="8702" width="15.6640625" style="265" hidden="1"/>
    <col min="8703" max="8703" width="33.6640625" style="265" hidden="1"/>
    <col min="8704" max="8704" width="26" style="265" hidden="1"/>
    <col min="8705" max="8705" width="10.6640625" style="265" hidden="1"/>
    <col min="8706" max="8706" width="12.5546875" style="265" hidden="1"/>
    <col min="8707" max="8708" width="12" style="265" hidden="1"/>
    <col min="8709" max="8710" width="10.6640625" style="265" hidden="1"/>
    <col min="8711" max="8711" width="11" style="265" hidden="1"/>
    <col min="8712" max="8720" width="10.6640625" style="265" hidden="1"/>
    <col min="8721" max="8721" width="13.109375" style="265" hidden="1"/>
    <col min="8722" max="8724" width="9.109375" style="265" hidden="1"/>
    <col min="8725" max="8734" width="0" style="265" hidden="1"/>
    <col min="8735" max="8735" width="11.33203125" style="265" hidden="1"/>
    <col min="8736" max="8736" width="12" style="265" hidden="1"/>
    <col min="8737" max="8956" width="9.109375" style="265" hidden="1"/>
    <col min="8957" max="8957" width="26.5546875" style="265" hidden="1"/>
    <col min="8958" max="8958" width="15.6640625" style="265" hidden="1"/>
    <col min="8959" max="8959" width="33.6640625" style="265" hidden="1"/>
    <col min="8960" max="8960" width="26" style="265" hidden="1"/>
    <col min="8961" max="8961" width="10.6640625" style="265" hidden="1"/>
    <col min="8962" max="8962" width="12.5546875" style="265" hidden="1"/>
    <col min="8963" max="8964" width="12" style="265" hidden="1"/>
    <col min="8965" max="8966" width="10.6640625" style="265" hidden="1"/>
    <col min="8967" max="8967" width="11" style="265" hidden="1"/>
    <col min="8968" max="8976" width="10.6640625" style="265" hidden="1"/>
    <col min="8977" max="8977" width="13.109375" style="265" hidden="1"/>
    <col min="8978" max="8980" width="9.109375" style="265" hidden="1"/>
    <col min="8981" max="8990" width="0" style="265" hidden="1"/>
    <col min="8991" max="8991" width="11.33203125" style="265" hidden="1"/>
    <col min="8992" max="8992" width="12" style="265" hidden="1"/>
    <col min="8993" max="9212" width="9.109375" style="265" hidden="1"/>
    <col min="9213" max="9213" width="26.5546875" style="265" hidden="1"/>
    <col min="9214" max="9214" width="15.6640625" style="265" hidden="1"/>
    <col min="9215" max="9215" width="33.6640625" style="265" hidden="1"/>
    <col min="9216" max="9216" width="26" style="265" hidden="1"/>
    <col min="9217" max="9217" width="10.6640625" style="265" hidden="1"/>
    <col min="9218" max="9218" width="12.5546875" style="265" hidden="1"/>
    <col min="9219" max="9220" width="12" style="265" hidden="1"/>
    <col min="9221" max="9222" width="10.6640625" style="265" hidden="1"/>
    <col min="9223" max="9223" width="11" style="265" hidden="1"/>
    <col min="9224" max="9232" width="10.6640625" style="265" hidden="1"/>
    <col min="9233" max="9233" width="13.109375" style="265" hidden="1"/>
    <col min="9234" max="9236" width="9.109375" style="265" hidden="1"/>
    <col min="9237" max="9246" width="0" style="265" hidden="1"/>
    <col min="9247" max="9247" width="11.33203125" style="265" hidden="1"/>
    <col min="9248" max="9248" width="12" style="265" hidden="1"/>
    <col min="9249" max="9468" width="9.109375" style="265" hidden="1"/>
    <col min="9469" max="9469" width="26.5546875" style="265" hidden="1"/>
    <col min="9470" max="9470" width="15.6640625" style="265" hidden="1"/>
    <col min="9471" max="9471" width="33.6640625" style="265" hidden="1"/>
    <col min="9472" max="9472" width="26" style="265" hidden="1"/>
    <col min="9473" max="9473" width="10.6640625" style="265" hidden="1"/>
    <col min="9474" max="9474" width="12.5546875" style="265" hidden="1"/>
    <col min="9475" max="9476" width="12" style="265" hidden="1"/>
    <col min="9477" max="9478" width="10.6640625" style="265" hidden="1"/>
    <col min="9479" max="9479" width="11" style="265" hidden="1"/>
    <col min="9480" max="9488" width="10.6640625" style="265" hidden="1"/>
    <col min="9489" max="9489" width="13.109375" style="265" hidden="1"/>
    <col min="9490" max="9492" width="9.109375" style="265" hidden="1"/>
    <col min="9493" max="9502" width="0" style="265" hidden="1"/>
    <col min="9503" max="9503" width="11.33203125" style="265" hidden="1"/>
    <col min="9504" max="9504" width="12" style="265" hidden="1"/>
    <col min="9505" max="9724" width="9.109375" style="265" hidden="1"/>
    <col min="9725" max="9725" width="26.5546875" style="265" hidden="1"/>
    <col min="9726" max="9726" width="15.6640625" style="265" hidden="1"/>
    <col min="9727" max="9727" width="33.6640625" style="265" hidden="1"/>
    <col min="9728" max="9728" width="26" style="265" hidden="1"/>
    <col min="9729" max="9729" width="10.6640625" style="265" hidden="1"/>
    <col min="9730" max="9730" width="12.5546875" style="265" hidden="1"/>
    <col min="9731" max="9732" width="12" style="265" hidden="1"/>
    <col min="9733" max="9734" width="10.6640625" style="265" hidden="1"/>
    <col min="9735" max="9735" width="11" style="265" hidden="1"/>
    <col min="9736" max="9744" width="10.6640625" style="265" hidden="1"/>
    <col min="9745" max="9745" width="13.109375" style="265" hidden="1"/>
    <col min="9746" max="9748" width="9.109375" style="265" hidden="1"/>
    <col min="9749" max="9758" width="0" style="265" hidden="1"/>
    <col min="9759" max="9759" width="11.33203125" style="265" hidden="1"/>
    <col min="9760" max="9760" width="12" style="265" hidden="1"/>
    <col min="9761" max="9980" width="9.109375" style="265" hidden="1"/>
    <col min="9981" max="9981" width="26.5546875" style="265" hidden="1"/>
    <col min="9982" max="9982" width="15.6640625" style="265" hidden="1"/>
    <col min="9983" max="9983" width="33.6640625" style="265" hidden="1"/>
    <col min="9984" max="9984" width="26" style="265" hidden="1"/>
    <col min="9985" max="9985" width="10.6640625" style="265" hidden="1"/>
    <col min="9986" max="9986" width="12.5546875" style="265" hidden="1"/>
    <col min="9987" max="9988" width="12" style="265" hidden="1"/>
    <col min="9989" max="9990" width="10.6640625" style="265" hidden="1"/>
    <col min="9991" max="9991" width="11" style="265" hidden="1"/>
    <col min="9992" max="10000" width="10.6640625" style="265" hidden="1"/>
    <col min="10001" max="10001" width="13.109375" style="265" hidden="1"/>
    <col min="10002" max="10004" width="9.109375" style="265" hidden="1"/>
    <col min="10005" max="10014" width="0" style="265" hidden="1"/>
    <col min="10015" max="10015" width="11.33203125" style="265" hidden="1"/>
    <col min="10016" max="10016" width="12" style="265" hidden="1"/>
    <col min="10017" max="10236" width="9.109375" style="265" hidden="1"/>
    <col min="10237" max="10237" width="26.5546875" style="265" hidden="1"/>
    <col min="10238" max="10238" width="15.6640625" style="265" hidden="1"/>
    <col min="10239" max="10239" width="33.6640625" style="265" hidden="1"/>
    <col min="10240" max="10240" width="26" style="265" hidden="1"/>
    <col min="10241" max="10241" width="10.6640625" style="265" hidden="1"/>
    <col min="10242" max="10242" width="12.5546875" style="265" hidden="1"/>
    <col min="10243" max="10244" width="12" style="265" hidden="1"/>
    <col min="10245" max="10246" width="10.6640625" style="265" hidden="1"/>
    <col min="10247" max="10247" width="11" style="265" hidden="1"/>
    <col min="10248" max="10256" width="10.6640625" style="265" hidden="1"/>
    <col min="10257" max="10257" width="13.109375" style="265" hidden="1"/>
    <col min="10258" max="10260" width="9.109375" style="265" hidden="1"/>
    <col min="10261" max="10270" width="0" style="265" hidden="1"/>
    <col min="10271" max="10271" width="11.33203125" style="265" hidden="1"/>
    <col min="10272" max="10272" width="12" style="265" hidden="1"/>
    <col min="10273" max="10492" width="9.109375" style="265" hidden="1"/>
    <col min="10493" max="10493" width="26.5546875" style="265" hidden="1"/>
    <col min="10494" max="10494" width="15.6640625" style="265" hidden="1"/>
    <col min="10495" max="10495" width="33.6640625" style="265" hidden="1"/>
    <col min="10496" max="10496" width="26" style="265" hidden="1"/>
    <col min="10497" max="10497" width="10.6640625" style="265" hidden="1"/>
    <col min="10498" max="10498" width="12.5546875" style="265" hidden="1"/>
    <col min="10499" max="10500" width="12" style="265" hidden="1"/>
    <col min="10501" max="10502" width="10.6640625" style="265" hidden="1"/>
    <col min="10503" max="10503" width="11" style="265" hidden="1"/>
    <col min="10504" max="10512" width="10.6640625" style="265" hidden="1"/>
    <col min="10513" max="10513" width="13.109375" style="265" hidden="1"/>
    <col min="10514" max="10516" width="9.109375" style="265" hidden="1"/>
    <col min="10517" max="10526" width="0" style="265" hidden="1"/>
    <col min="10527" max="10527" width="11.33203125" style="265" hidden="1"/>
    <col min="10528" max="10528" width="12" style="265" hidden="1"/>
    <col min="10529" max="10748" width="9.109375" style="265" hidden="1"/>
    <col min="10749" max="10749" width="26.5546875" style="265" hidden="1"/>
    <col min="10750" max="10750" width="15.6640625" style="265" hidden="1"/>
    <col min="10751" max="10751" width="33.6640625" style="265" hidden="1"/>
    <col min="10752" max="10752" width="26" style="265" hidden="1"/>
    <col min="10753" max="10753" width="10.6640625" style="265" hidden="1"/>
    <col min="10754" max="10754" width="12.5546875" style="265" hidden="1"/>
    <col min="10755" max="10756" width="12" style="265" hidden="1"/>
    <col min="10757" max="10758" width="10.6640625" style="265" hidden="1"/>
    <col min="10759" max="10759" width="11" style="265" hidden="1"/>
    <col min="10760" max="10768" width="10.6640625" style="265" hidden="1"/>
    <col min="10769" max="10769" width="13.109375" style="265" hidden="1"/>
    <col min="10770" max="10772" width="9.109375" style="265" hidden="1"/>
    <col min="10773" max="10782" width="0" style="265" hidden="1"/>
    <col min="10783" max="10783" width="11.33203125" style="265" hidden="1"/>
    <col min="10784" max="10784" width="12" style="265" hidden="1"/>
    <col min="10785" max="11004" width="9.109375" style="265" hidden="1"/>
    <col min="11005" max="11005" width="26.5546875" style="265" hidden="1"/>
    <col min="11006" max="11006" width="15.6640625" style="265" hidden="1"/>
    <col min="11007" max="11007" width="33.6640625" style="265" hidden="1"/>
    <col min="11008" max="11008" width="26" style="265" hidden="1"/>
    <col min="11009" max="11009" width="10.6640625" style="265" hidden="1"/>
    <col min="11010" max="11010" width="12.5546875" style="265" hidden="1"/>
    <col min="11011" max="11012" width="12" style="265" hidden="1"/>
    <col min="11013" max="11014" width="10.6640625" style="265" hidden="1"/>
    <col min="11015" max="11015" width="11" style="265" hidden="1"/>
    <col min="11016" max="11024" width="10.6640625" style="265" hidden="1"/>
    <col min="11025" max="11025" width="13.109375" style="265" hidden="1"/>
    <col min="11026" max="11028" width="9.109375" style="265" hidden="1"/>
    <col min="11029" max="11038" width="0" style="265" hidden="1"/>
    <col min="11039" max="11039" width="11.33203125" style="265" hidden="1"/>
    <col min="11040" max="11040" width="12" style="265" hidden="1"/>
    <col min="11041" max="11260" width="9.109375" style="265" hidden="1"/>
    <col min="11261" max="11261" width="26.5546875" style="265" hidden="1"/>
    <col min="11262" max="11262" width="15.6640625" style="265" hidden="1"/>
    <col min="11263" max="11263" width="33.6640625" style="265" hidden="1"/>
    <col min="11264" max="11264" width="26" style="265" hidden="1"/>
    <col min="11265" max="11265" width="10.6640625" style="265" hidden="1"/>
    <col min="11266" max="11266" width="12.5546875" style="265" hidden="1"/>
    <col min="11267" max="11268" width="12" style="265" hidden="1"/>
    <col min="11269" max="11270" width="10.6640625" style="265" hidden="1"/>
    <col min="11271" max="11271" width="11" style="265" hidden="1"/>
    <col min="11272" max="11280" width="10.6640625" style="265" hidden="1"/>
    <col min="11281" max="11281" width="13.109375" style="265" hidden="1"/>
    <col min="11282" max="11284" width="9.109375" style="265" hidden="1"/>
    <col min="11285" max="11294" width="0" style="265" hidden="1"/>
    <col min="11295" max="11295" width="11.33203125" style="265" hidden="1"/>
    <col min="11296" max="11296" width="12" style="265" hidden="1"/>
    <col min="11297" max="11516" width="9.109375" style="265" hidden="1"/>
    <col min="11517" max="11517" width="26.5546875" style="265" hidden="1"/>
    <col min="11518" max="11518" width="15.6640625" style="265" hidden="1"/>
    <col min="11519" max="11519" width="33.6640625" style="265" hidden="1"/>
    <col min="11520" max="11520" width="26" style="265" hidden="1"/>
    <col min="11521" max="11521" width="10.6640625" style="265" hidden="1"/>
    <col min="11522" max="11522" width="12.5546875" style="265" hidden="1"/>
    <col min="11523" max="11524" width="12" style="265" hidden="1"/>
    <col min="11525" max="11526" width="10.6640625" style="265" hidden="1"/>
    <col min="11527" max="11527" width="11" style="265" hidden="1"/>
    <col min="11528" max="11536" width="10.6640625" style="265" hidden="1"/>
    <col min="11537" max="11537" width="13.109375" style="265" hidden="1"/>
    <col min="11538" max="11540" width="9.109375" style="265" hidden="1"/>
    <col min="11541" max="11550" width="0" style="265" hidden="1"/>
    <col min="11551" max="11551" width="11.33203125" style="265" hidden="1"/>
    <col min="11552" max="11552" width="12" style="265" hidden="1"/>
    <col min="11553" max="11772" width="9.109375" style="265" hidden="1"/>
    <col min="11773" max="11773" width="26.5546875" style="265" hidden="1"/>
    <col min="11774" max="11774" width="15.6640625" style="265" hidden="1"/>
    <col min="11775" max="11775" width="33.6640625" style="265" hidden="1"/>
    <col min="11776" max="11776" width="26" style="265" hidden="1"/>
    <col min="11777" max="11777" width="10.6640625" style="265" hidden="1"/>
    <col min="11778" max="11778" width="12.5546875" style="265" hidden="1"/>
    <col min="11779" max="11780" width="12" style="265" hidden="1"/>
    <col min="11781" max="11782" width="10.6640625" style="265" hidden="1"/>
    <col min="11783" max="11783" width="11" style="265" hidden="1"/>
    <col min="11784" max="11792" width="10.6640625" style="265" hidden="1"/>
    <col min="11793" max="11793" width="13.109375" style="265" hidden="1"/>
    <col min="11794" max="11796" width="9.109375" style="265" hidden="1"/>
    <col min="11797" max="11806" width="0" style="265" hidden="1"/>
    <col min="11807" max="11807" width="11.33203125" style="265" hidden="1"/>
    <col min="11808" max="11808" width="12" style="265" hidden="1"/>
    <col min="11809" max="12028" width="9.109375" style="265" hidden="1"/>
    <col min="12029" max="12029" width="26.5546875" style="265" hidden="1"/>
    <col min="12030" max="12030" width="15.6640625" style="265" hidden="1"/>
    <col min="12031" max="12031" width="33.6640625" style="265" hidden="1"/>
    <col min="12032" max="12032" width="26" style="265" hidden="1"/>
    <col min="12033" max="12033" width="10.6640625" style="265" hidden="1"/>
    <col min="12034" max="12034" width="12.5546875" style="265" hidden="1"/>
    <col min="12035" max="12036" width="12" style="265" hidden="1"/>
    <col min="12037" max="12038" width="10.6640625" style="265" hidden="1"/>
    <col min="12039" max="12039" width="11" style="265" hidden="1"/>
    <col min="12040" max="12048" width="10.6640625" style="265" hidden="1"/>
    <col min="12049" max="12049" width="13.109375" style="265" hidden="1"/>
    <col min="12050" max="12052" width="9.109375" style="265" hidden="1"/>
    <col min="12053" max="12062" width="0" style="265" hidden="1"/>
    <col min="12063" max="12063" width="11.33203125" style="265" hidden="1"/>
    <col min="12064" max="12064" width="12" style="265" hidden="1"/>
    <col min="12065" max="12284" width="9.109375" style="265" hidden="1"/>
    <col min="12285" max="12285" width="26.5546875" style="265" hidden="1"/>
    <col min="12286" max="12286" width="15.6640625" style="265" hidden="1"/>
    <col min="12287" max="12287" width="33.6640625" style="265" hidden="1"/>
    <col min="12288" max="12288" width="26" style="265" hidden="1"/>
    <col min="12289" max="12289" width="10.6640625" style="265" hidden="1"/>
    <col min="12290" max="12290" width="12.5546875" style="265" hidden="1"/>
    <col min="12291" max="12292" width="12" style="265" hidden="1"/>
    <col min="12293" max="12294" width="10.6640625" style="265" hidden="1"/>
    <col min="12295" max="12295" width="11" style="265" hidden="1"/>
    <col min="12296" max="12304" width="10.6640625" style="265" hidden="1"/>
    <col min="12305" max="12305" width="13.109375" style="265" hidden="1"/>
    <col min="12306" max="12308" width="9.109375" style="265" hidden="1"/>
    <col min="12309" max="12318" width="0" style="265" hidden="1"/>
    <col min="12319" max="12319" width="11.33203125" style="265" hidden="1"/>
    <col min="12320" max="12320" width="12" style="265" hidden="1"/>
    <col min="12321" max="12540" width="9.109375" style="265" hidden="1"/>
    <col min="12541" max="12541" width="26.5546875" style="265" hidden="1"/>
    <col min="12542" max="12542" width="15.6640625" style="265" hidden="1"/>
    <col min="12543" max="12543" width="33.6640625" style="265" hidden="1"/>
    <col min="12544" max="12544" width="26" style="265" hidden="1"/>
    <col min="12545" max="12545" width="10.6640625" style="265" hidden="1"/>
    <col min="12546" max="12546" width="12.5546875" style="265" hidden="1"/>
    <col min="12547" max="12548" width="12" style="265" hidden="1"/>
    <col min="12549" max="12550" width="10.6640625" style="265" hidden="1"/>
    <col min="12551" max="12551" width="11" style="265" hidden="1"/>
    <col min="12552" max="12560" width="10.6640625" style="265" hidden="1"/>
    <col min="12561" max="12561" width="13.109375" style="265" hidden="1"/>
    <col min="12562" max="12564" width="9.109375" style="265" hidden="1"/>
    <col min="12565" max="12574" width="0" style="265" hidden="1"/>
    <col min="12575" max="12575" width="11.33203125" style="265" hidden="1"/>
    <col min="12576" max="12576" width="12" style="265" hidden="1"/>
    <col min="12577" max="12796" width="9.109375" style="265" hidden="1"/>
    <col min="12797" max="12797" width="26.5546875" style="265" hidden="1"/>
    <col min="12798" max="12798" width="15.6640625" style="265" hidden="1"/>
    <col min="12799" max="12799" width="33.6640625" style="265" hidden="1"/>
    <col min="12800" max="12800" width="26" style="265" hidden="1"/>
    <col min="12801" max="12801" width="10.6640625" style="265" hidden="1"/>
    <col min="12802" max="12802" width="12.5546875" style="265" hidden="1"/>
    <col min="12803" max="12804" width="12" style="265" hidden="1"/>
    <col min="12805" max="12806" width="10.6640625" style="265" hidden="1"/>
    <col min="12807" max="12807" width="11" style="265" hidden="1"/>
    <col min="12808" max="12816" width="10.6640625" style="265" hidden="1"/>
    <col min="12817" max="12817" width="13.109375" style="265" hidden="1"/>
    <col min="12818" max="12820" width="9.109375" style="265" hidden="1"/>
    <col min="12821" max="12830" width="0" style="265" hidden="1"/>
    <col min="12831" max="12831" width="11.33203125" style="265" hidden="1"/>
    <col min="12832" max="12832" width="12" style="265" hidden="1"/>
    <col min="12833" max="13052" width="9.109375" style="265" hidden="1"/>
    <col min="13053" max="13053" width="26.5546875" style="265" hidden="1"/>
    <col min="13054" max="13054" width="15.6640625" style="265" hidden="1"/>
    <col min="13055" max="13055" width="33.6640625" style="265" hidden="1"/>
    <col min="13056" max="13056" width="26" style="265" hidden="1"/>
    <col min="13057" max="13057" width="10.6640625" style="265" hidden="1"/>
    <col min="13058" max="13058" width="12.5546875" style="265" hidden="1"/>
    <col min="13059" max="13060" width="12" style="265" hidden="1"/>
    <col min="13061" max="13062" width="10.6640625" style="265" hidden="1"/>
    <col min="13063" max="13063" width="11" style="265" hidden="1"/>
    <col min="13064" max="13072" width="10.6640625" style="265" hidden="1"/>
    <col min="13073" max="13073" width="13.109375" style="265" hidden="1"/>
    <col min="13074" max="13076" width="9.109375" style="265" hidden="1"/>
    <col min="13077" max="13086" width="0" style="265" hidden="1"/>
    <col min="13087" max="13087" width="11.33203125" style="265" hidden="1"/>
    <col min="13088" max="13088" width="12" style="265" hidden="1"/>
    <col min="13089" max="13308" width="9.109375" style="265" hidden="1"/>
    <col min="13309" max="13309" width="26.5546875" style="265" hidden="1"/>
    <col min="13310" max="13310" width="15.6640625" style="265" hidden="1"/>
    <col min="13311" max="13311" width="33.6640625" style="265" hidden="1"/>
    <col min="13312" max="13312" width="26" style="265" hidden="1"/>
    <col min="13313" max="13313" width="10.6640625" style="265" hidden="1"/>
    <col min="13314" max="13314" width="12.5546875" style="265" hidden="1"/>
    <col min="13315" max="13316" width="12" style="265" hidden="1"/>
    <col min="13317" max="13318" width="10.6640625" style="265" hidden="1"/>
    <col min="13319" max="13319" width="11" style="265" hidden="1"/>
    <col min="13320" max="13328" width="10.6640625" style="265" hidden="1"/>
    <col min="13329" max="13329" width="13.109375" style="265" hidden="1"/>
    <col min="13330" max="13332" width="9.109375" style="265" hidden="1"/>
    <col min="13333" max="13342" width="0" style="265" hidden="1"/>
    <col min="13343" max="13343" width="11.33203125" style="265" hidden="1"/>
    <col min="13344" max="13344" width="12" style="265" hidden="1"/>
    <col min="13345" max="13564" width="9.109375" style="265" hidden="1"/>
    <col min="13565" max="13565" width="26.5546875" style="265" hidden="1"/>
    <col min="13566" max="13566" width="15.6640625" style="265" hidden="1"/>
    <col min="13567" max="13567" width="33.6640625" style="265" hidden="1"/>
    <col min="13568" max="13568" width="26" style="265" hidden="1"/>
    <col min="13569" max="13569" width="10.6640625" style="265" hidden="1"/>
    <col min="13570" max="13570" width="12.5546875" style="265" hidden="1"/>
    <col min="13571" max="13572" width="12" style="265" hidden="1"/>
    <col min="13573" max="13574" width="10.6640625" style="265" hidden="1"/>
    <col min="13575" max="13575" width="11" style="265" hidden="1"/>
    <col min="13576" max="13584" width="10.6640625" style="265" hidden="1"/>
    <col min="13585" max="13585" width="13.109375" style="265" hidden="1"/>
    <col min="13586" max="13588" width="9.109375" style="265" hidden="1"/>
    <col min="13589" max="13598" width="0" style="265" hidden="1"/>
    <col min="13599" max="13599" width="11.33203125" style="265" hidden="1"/>
    <col min="13600" max="13600" width="12" style="265" hidden="1"/>
    <col min="13601" max="13820" width="9.109375" style="265" hidden="1"/>
    <col min="13821" max="13821" width="26.5546875" style="265" hidden="1"/>
    <col min="13822" max="13822" width="15.6640625" style="265" hidden="1"/>
    <col min="13823" max="13823" width="33.6640625" style="265" hidden="1"/>
    <col min="13824" max="13824" width="26" style="265" hidden="1"/>
    <col min="13825" max="13825" width="10.6640625" style="265" hidden="1"/>
    <col min="13826" max="13826" width="12.5546875" style="265" hidden="1"/>
    <col min="13827" max="13828" width="12" style="265" hidden="1"/>
    <col min="13829" max="13830" width="10.6640625" style="265" hidden="1"/>
    <col min="13831" max="13831" width="11" style="265" hidden="1"/>
    <col min="13832" max="13840" width="10.6640625" style="265" hidden="1"/>
    <col min="13841" max="13841" width="13.109375" style="265" hidden="1"/>
    <col min="13842" max="13844" width="9.109375" style="265" hidden="1"/>
    <col min="13845" max="13854" width="0" style="265" hidden="1"/>
    <col min="13855" max="13855" width="11.33203125" style="265" hidden="1"/>
    <col min="13856" max="13856" width="12" style="265" hidden="1"/>
    <col min="13857" max="14076" width="9.109375" style="265" hidden="1"/>
    <col min="14077" max="14077" width="26.5546875" style="265" hidden="1"/>
    <col min="14078" max="14078" width="15.6640625" style="265" hidden="1"/>
    <col min="14079" max="14079" width="33.6640625" style="265" hidden="1"/>
    <col min="14080" max="14080" width="26" style="265" hidden="1"/>
    <col min="14081" max="14081" width="10.6640625" style="265" hidden="1"/>
    <col min="14082" max="14082" width="12.5546875" style="265" hidden="1"/>
    <col min="14083" max="14084" width="12" style="265" hidden="1"/>
    <col min="14085" max="14086" width="10.6640625" style="265" hidden="1"/>
    <col min="14087" max="14087" width="11" style="265" hidden="1"/>
    <col min="14088" max="14096" width="10.6640625" style="265" hidden="1"/>
    <col min="14097" max="14097" width="13.109375" style="265" hidden="1"/>
    <col min="14098" max="14100" width="9.109375" style="265" hidden="1"/>
    <col min="14101" max="14110" width="0" style="265" hidden="1"/>
    <col min="14111" max="14111" width="11.33203125" style="265" hidden="1"/>
    <col min="14112" max="14112" width="12" style="265" hidden="1"/>
    <col min="14113" max="14332" width="9.109375" style="265" hidden="1"/>
    <col min="14333" max="14333" width="26.5546875" style="265" hidden="1"/>
    <col min="14334" max="14334" width="15.6640625" style="265" hidden="1"/>
    <col min="14335" max="14335" width="33.6640625" style="265" hidden="1"/>
    <col min="14336" max="14336" width="26" style="265" hidden="1"/>
    <col min="14337" max="14337" width="10.6640625" style="265" hidden="1"/>
    <col min="14338" max="14338" width="12.5546875" style="265" hidden="1"/>
    <col min="14339" max="14340" width="12" style="265" hidden="1"/>
    <col min="14341" max="14342" width="10.6640625" style="265" hidden="1"/>
    <col min="14343" max="14343" width="11" style="265" hidden="1"/>
    <col min="14344" max="14352" width="10.6640625" style="265" hidden="1"/>
    <col min="14353" max="14353" width="13.109375" style="265" hidden="1"/>
    <col min="14354" max="14356" width="9.109375" style="265" hidden="1"/>
    <col min="14357" max="14366" width="0" style="265" hidden="1"/>
    <col min="14367" max="14367" width="11.33203125" style="265" hidden="1"/>
    <col min="14368" max="14368" width="12" style="265" hidden="1"/>
    <col min="14369" max="14588" width="9.109375" style="265" hidden="1"/>
    <col min="14589" max="14589" width="26.5546875" style="265" hidden="1"/>
    <col min="14590" max="14590" width="15.6640625" style="265" hidden="1"/>
    <col min="14591" max="14591" width="33.6640625" style="265" hidden="1"/>
    <col min="14592" max="14592" width="26" style="265" hidden="1"/>
    <col min="14593" max="14593" width="10.6640625" style="265" hidden="1"/>
    <col min="14594" max="14594" width="12.5546875" style="265" hidden="1"/>
    <col min="14595" max="14596" width="12" style="265" hidden="1"/>
    <col min="14597" max="14598" width="10.6640625" style="265" hidden="1"/>
    <col min="14599" max="14599" width="11" style="265" hidden="1"/>
    <col min="14600" max="14608" width="10.6640625" style="265" hidden="1"/>
    <col min="14609" max="14609" width="13.109375" style="265" hidden="1"/>
    <col min="14610" max="14612" width="9.109375" style="265" hidden="1"/>
    <col min="14613" max="14622" width="0" style="265" hidden="1"/>
    <col min="14623" max="14623" width="11.33203125" style="265" hidden="1"/>
    <col min="14624" max="14624" width="12" style="265" hidden="1"/>
    <col min="14625" max="14844" width="9.109375" style="265" hidden="1"/>
    <col min="14845" max="14845" width="26.5546875" style="265" hidden="1"/>
    <col min="14846" max="14846" width="15.6640625" style="265" hidden="1"/>
    <col min="14847" max="14847" width="33.6640625" style="265" hidden="1"/>
    <col min="14848" max="14848" width="26" style="265" hidden="1"/>
    <col min="14849" max="14849" width="10.6640625" style="265" hidden="1"/>
    <col min="14850" max="14850" width="12.5546875" style="265" hidden="1"/>
    <col min="14851" max="14852" width="12" style="265" hidden="1"/>
    <col min="14853" max="14854" width="10.6640625" style="265" hidden="1"/>
    <col min="14855" max="14855" width="11" style="265" hidden="1"/>
    <col min="14856" max="14864" width="10.6640625" style="265" hidden="1"/>
    <col min="14865" max="14865" width="13.109375" style="265" hidden="1"/>
    <col min="14866" max="14868" width="9.109375" style="265" hidden="1"/>
    <col min="14869" max="14878" width="0" style="265" hidden="1"/>
    <col min="14879" max="14879" width="11.33203125" style="265" hidden="1"/>
    <col min="14880" max="14880" width="12" style="265" hidden="1"/>
    <col min="14881" max="15100" width="9.109375" style="265" hidden="1"/>
    <col min="15101" max="15101" width="26.5546875" style="265" hidden="1"/>
    <col min="15102" max="15102" width="15.6640625" style="265" hidden="1"/>
    <col min="15103" max="15103" width="33.6640625" style="265" hidden="1"/>
    <col min="15104" max="15104" width="26" style="265" hidden="1"/>
    <col min="15105" max="15105" width="10.6640625" style="265" hidden="1"/>
    <col min="15106" max="15106" width="12.5546875" style="265" hidden="1"/>
    <col min="15107" max="15108" width="12" style="265" hidden="1"/>
    <col min="15109" max="15110" width="10.6640625" style="265" hidden="1"/>
    <col min="15111" max="15111" width="11" style="265" hidden="1"/>
    <col min="15112" max="15120" width="10.6640625" style="265" hidden="1"/>
    <col min="15121" max="15121" width="13.109375" style="265" hidden="1"/>
    <col min="15122" max="15124" width="9.109375" style="265" hidden="1"/>
    <col min="15125" max="15134" width="0" style="265" hidden="1"/>
    <col min="15135" max="15135" width="11.33203125" style="265" hidden="1"/>
    <col min="15136" max="15136" width="12" style="265" hidden="1"/>
    <col min="15137" max="15356" width="9.109375" style="265" hidden="1"/>
    <col min="15357" max="15357" width="26.5546875" style="265" hidden="1"/>
    <col min="15358" max="15358" width="15.6640625" style="265" hidden="1"/>
    <col min="15359" max="15359" width="33.6640625" style="265" hidden="1"/>
    <col min="15360" max="15360" width="26" style="265" hidden="1"/>
    <col min="15361" max="15361" width="10.6640625" style="265" hidden="1"/>
    <col min="15362" max="15362" width="12.5546875" style="265" hidden="1"/>
    <col min="15363" max="15364" width="12" style="265" hidden="1"/>
    <col min="15365" max="15366" width="10.6640625" style="265" hidden="1"/>
    <col min="15367" max="15367" width="11" style="265" hidden="1"/>
    <col min="15368" max="15376" width="10.6640625" style="265" hidden="1"/>
    <col min="15377" max="15377" width="13.109375" style="265" hidden="1"/>
    <col min="15378" max="15380" width="9.109375" style="265" hidden="1"/>
    <col min="15381" max="15390" width="0" style="265" hidden="1"/>
    <col min="15391" max="15391" width="11.33203125" style="265" hidden="1"/>
    <col min="15392" max="15392" width="12" style="265" hidden="1"/>
    <col min="15393" max="15612" width="9.109375" style="265" hidden="1"/>
    <col min="15613" max="15613" width="26.5546875" style="265" hidden="1"/>
    <col min="15614" max="15614" width="15.6640625" style="265" hidden="1"/>
    <col min="15615" max="15615" width="33.6640625" style="265" hidden="1"/>
    <col min="15616" max="15616" width="26" style="265" hidden="1"/>
    <col min="15617" max="15617" width="10.6640625" style="265" hidden="1"/>
    <col min="15618" max="15618" width="12.5546875" style="265" hidden="1"/>
    <col min="15619" max="15620" width="12" style="265" hidden="1"/>
    <col min="15621" max="15622" width="10.6640625" style="265" hidden="1"/>
    <col min="15623" max="15623" width="11" style="265" hidden="1"/>
    <col min="15624" max="15632" width="10.6640625" style="265" hidden="1"/>
    <col min="15633" max="15633" width="13.109375" style="265" hidden="1"/>
    <col min="15634" max="15636" width="9.109375" style="265" hidden="1"/>
    <col min="15637" max="15646" width="0" style="265" hidden="1"/>
    <col min="15647" max="15647" width="11.33203125" style="265" hidden="1"/>
    <col min="15648" max="15648" width="12" style="265" hidden="1"/>
    <col min="15649" max="15868" width="9.109375" style="265" hidden="1"/>
    <col min="15869" max="15869" width="26.5546875" style="265" hidden="1"/>
    <col min="15870" max="15870" width="15.6640625" style="265" hidden="1"/>
    <col min="15871" max="15871" width="33.6640625" style="265" hidden="1"/>
    <col min="15872" max="15872" width="26" style="265" hidden="1"/>
    <col min="15873" max="15873" width="10.6640625" style="265" hidden="1"/>
    <col min="15874" max="15874" width="12.5546875" style="265" hidden="1"/>
    <col min="15875" max="15876" width="12" style="265" hidden="1"/>
    <col min="15877" max="15878" width="10.6640625" style="265" hidden="1"/>
    <col min="15879" max="15879" width="11" style="265" hidden="1"/>
    <col min="15880" max="15888" width="10.6640625" style="265" hidden="1"/>
    <col min="15889" max="15889" width="13.109375" style="265" hidden="1"/>
    <col min="15890" max="15892" width="9.109375" style="265" hidden="1"/>
    <col min="15893" max="15902" width="0" style="265" hidden="1"/>
    <col min="15903" max="15903" width="11.33203125" style="265" hidden="1"/>
    <col min="15904" max="15904" width="12" style="265" hidden="1"/>
    <col min="15905" max="16124" width="9.109375" style="265" hidden="1"/>
    <col min="16125" max="16125" width="26.5546875" style="265" hidden="1"/>
    <col min="16126" max="16126" width="15.6640625" style="265" hidden="1"/>
    <col min="16127" max="16127" width="33.6640625" style="265" hidden="1"/>
    <col min="16128" max="16128" width="26" style="265" hidden="1"/>
    <col min="16129" max="16129" width="10.6640625" style="265" hidden="1"/>
    <col min="16130" max="16130" width="12.5546875" style="265" hidden="1"/>
    <col min="16131" max="16132" width="12" style="265" hidden="1"/>
    <col min="16133" max="16134" width="10.6640625" style="265" hidden="1"/>
    <col min="16135" max="16135" width="11" style="265" hidden="1"/>
    <col min="16136" max="16144" width="10.6640625" style="265" hidden="1"/>
    <col min="16145" max="16145" width="13.109375" style="265" hidden="1"/>
    <col min="16146" max="16148" width="9.109375" style="265" hidden="1"/>
    <col min="16149" max="16158" width="0" style="265" hidden="1"/>
    <col min="16159" max="16159" width="11.33203125" style="265" hidden="1"/>
    <col min="16160" max="16160" width="12" style="265" hidden="1"/>
    <col min="16161" max="16168" width="0" style="265" hidden="1"/>
    <col min="16169" max="16169" width="11.33203125" style="265" hidden="1"/>
    <col min="16170" max="16172" width="12" style="265" hidden="1"/>
    <col min="16173" max="16384" width="9.109375" style="265" hidden="1"/>
  </cols>
  <sheetData>
    <row r="1" spans="1:32" ht="14.4" x14ac:dyDescent="0.3"/>
    <row r="2" spans="1:32" ht="85.5" customHeight="1" x14ac:dyDescent="0.3">
      <c r="A2" s="267" t="s">
        <v>105</v>
      </c>
      <c r="B2" s="268" t="s">
        <v>309</v>
      </c>
      <c r="C2" s="269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32" ht="14.4" x14ac:dyDescent="0.3">
      <c r="A3" s="271"/>
      <c r="B3" s="271"/>
      <c r="C3" s="269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</row>
    <row r="4" spans="1:32" ht="34.5" customHeight="1" x14ac:dyDescent="0.3">
      <c r="A4" s="272" t="s">
        <v>106</v>
      </c>
      <c r="B4" s="273" t="str">
        <f>+'1. forrasösszesítő'!B1</f>
        <v>Hajdú-Bihar</v>
      </c>
      <c r="C4" s="274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</row>
    <row r="5" spans="1:32" ht="87" customHeight="1" x14ac:dyDescent="0.3">
      <c r="A5" s="272" t="s">
        <v>296</v>
      </c>
      <c r="B5" s="275">
        <f>+'1. forrasösszesítő'!B2</f>
        <v>127322000000</v>
      </c>
      <c r="C5" s="269"/>
      <c r="D5" s="276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</row>
    <row r="6" spans="1:32" ht="14.4" x14ac:dyDescent="0.3">
      <c r="A6" s="270"/>
      <c r="B6" s="270"/>
      <c r="C6" s="269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</row>
    <row r="7" spans="1:32" s="280" customFormat="1" ht="71.25" customHeight="1" x14ac:dyDescent="0.3">
      <c r="A7" s="277" t="s">
        <v>107</v>
      </c>
      <c r="B7" s="278" t="s">
        <v>108</v>
      </c>
      <c r="C7" s="277" t="s">
        <v>501</v>
      </c>
      <c r="D7" s="240">
        <v>2021</v>
      </c>
      <c r="E7" s="241"/>
      <c r="F7" s="241"/>
      <c r="G7" s="242"/>
      <c r="H7" s="240">
        <v>2022</v>
      </c>
      <c r="I7" s="241"/>
      <c r="J7" s="241"/>
      <c r="K7" s="242"/>
      <c r="L7" s="240">
        <v>2023</v>
      </c>
      <c r="M7" s="241"/>
      <c r="N7" s="241"/>
      <c r="O7" s="242"/>
      <c r="P7" s="240">
        <v>2024</v>
      </c>
      <c r="Q7" s="241"/>
      <c r="R7" s="241"/>
      <c r="S7" s="242"/>
      <c r="T7" s="239">
        <v>2025</v>
      </c>
      <c r="U7" s="239"/>
      <c r="V7" s="239"/>
      <c r="W7" s="239"/>
      <c r="X7" s="239">
        <v>2026</v>
      </c>
      <c r="Y7" s="239"/>
      <c r="Z7" s="239"/>
      <c r="AA7" s="239"/>
      <c r="AB7" s="239">
        <v>2027</v>
      </c>
      <c r="AC7" s="239"/>
      <c r="AD7" s="239"/>
      <c r="AE7" s="239"/>
      <c r="AF7" s="279" t="s">
        <v>502</v>
      </c>
    </row>
    <row r="8" spans="1:32" ht="38.25" customHeight="1" x14ac:dyDescent="0.3">
      <c r="A8" s="281"/>
      <c r="B8" s="282"/>
      <c r="C8" s="281"/>
      <c r="D8" s="283" t="s">
        <v>109</v>
      </c>
      <c r="E8" s="283" t="s">
        <v>110</v>
      </c>
      <c r="F8" s="283" t="s">
        <v>111</v>
      </c>
      <c r="G8" s="283" t="s">
        <v>112</v>
      </c>
      <c r="H8" s="283" t="s">
        <v>109</v>
      </c>
      <c r="I8" s="283" t="s">
        <v>110</v>
      </c>
      <c r="J8" s="283" t="s">
        <v>111</v>
      </c>
      <c r="K8" s="283" t="s">
        <v>112</v>
      </c>
      <c r="L8" s="283" t="s">
        <v>109</v>
      </c>
      <c r="M8" s="283" t="s">
        <v>110</v>
      </c>
      <c r="N8" s="283" t="s">
        <v>111</v>
      </c>
      <c r="O8" s="283" t="s">
        <v>112</v>
      </c>
      <c r="P8" s="283" t="s">
        <v>109</v>
      </c>
      <c r="Q8" s="283" t="s">
        <v>110</v>
      </c>
      <c r="R8" s="283" t="s">
        <v>111</v>
      </c>
      <c r="S8" s="283" t="s">
        <v>112</v>
      </c>
      <c r="T8" s="283" t="s">
        <v>109</v>
      </c>
      <c r="U8" s="283" t="s">
        <v>110</v>
      </c>
      <c r="V8" s="283" t="s">
        <v>111</v>
      </c>
      <c r="W8" s="283" t="s">
        <v>112</v>
      </c>
      <c r="X8" s="283" t="s">
        <v>109</v>
      </c>
      <c r="Y8" s="283" t="s">
        <v>110</v>
      </c>
      <c r="Z8" s="283" t="s">
        <v>111</v>
      </c>
      <c r="AA8" s="283" t="s">
        <v>112</v>
      </c>
      <c r="AB8" s="283" t="s">
        <v>109</v>
      </c>
      <c r="AC8" s="283" t="s">
        <v>110</v>
      </c>
      <c r="AD8" s="283" t="s">
        <v>111</v>
      </c>
      <c r="AE8" s="283" t="s">
        <v>112</v>
      </c>
      <c r="AF8" s="279"/>
    </row>
    <row r="9" spans="1:32" ht="36" customHeight="1" x14ac:dyDescent="0.3">
      <c r="A9" s="284" t="s">
        <v>92</v>
      </c>
      <c r="B9" s="91" t="s">
        <v>41</v>
      </c>
      <c r="C9" s="192">
        <v>100000000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>
        <v>100000000</v>
      </c>
      <c r="X9" s="190"/>
      <c r="Y9" s="190"/>
      <c r="Z9" s="190"/>
      <c r="AA9" s="285"/>
      <c r="AB9" s="285"/>
      <c r="AC9" s="285"/>
      <c r="AD9" s="285"/>
      <c r="AE9" s="285"/>
      <c r="AF9" s="286">
        <f>SUM(D9:AE9)</f>
        <v>100000000</v>
      </c>
    </row>
    <row r="10" spans="1:32" ht="42" customHeight="1" x14ac:dyDescent="0.3">
      <c r="A10" s="284"/>
      <c r="B10" s="92" t="s">
        <v>2</v>
      </c>
      <c r="C10" s="193">
        <v>20956250479</v>
      </c>
      <c r="D10" s="189"/>
      <c r="E10" s="189"/>
      <c r="F10" s="189"/>
      <c r="G10" s="189"/>
      <c r="H10" s="189">
        <v>19090259236</v>
      </c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>
        <f>1865991243-504000000-391116528</f>
        <v>970874715</v>
      </c>
      <c r="U10" s="189"/>
      <c r="V10" s="189"/>
      <c r="W10" s="189"/>
      <c r="X10" s="190"/>
      <c r="Y10" s="190">
        <f>504000000+391116528</f>
        <v>895116528</v>
      </c>
      <c r="Z10" s="190"/>
      <c r="AA10" s="285"/>
      <c r="AB10" s="285"/>
      <c r="AC10" s="285"/>
      <c r="AD10" s="285"/>
      <c r="AE10" s="285"/>
      <c r="AF10" s="286">
        <f t="shared" ref="AF10:AF34" si="0">SUM(D10:AE10)</f>
        <v>20956250479</v>
      </c>
    </row>
    <row r="11" spans="1:32" ht="39.75" customHeight="1" x14ac:dyDescent="0.3">
      <c r="A11" s="284"/>
      <c r="B11" s="91" t="s">
        <v>113</v>
      </c>
      <c r="C11" s="193">
        <f>488000000</f>
        <v>488000000</v>
      </c>
      <c r="D11" s="189"/>
      <c r="E11" s="189"/>
      <c r="F11" s="189"/>
      <c r="G11" s="189"/>
      <c r="H11" s="189"/>
      <c r="I11" s="189">
        <v>232990130</v>
      </c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90"/>
      <c r="Y11" s="190">
        <v>255009870</v>
      </c>
      <c r="Z11" s="190"/>
      <c r="AA11" s="285"/>
      <c r="AB11" s="285"/>
      <c r="AC11" s="285"/>
      <c r="AD11" s="285"/>
      <c r="AE11" s="285"/>
      <c r="AF11" s="286">
        <f t="shared" si="0"/>
        <v>488000000</v>
      </c>
    </row>
    <row r="12" spans="1:32" ht="45.75" customHeight="1" x14ac:dyDescent="0.3">
      <c r="A12" s="284"/>
      <c r="B12" s="93" t="s">
        <v>13</v>
      </c>
      <c r="C12" s="193">
        <v>12563069649</v>
      </c>
      <c r="D12" s="189"/>
      <c r="E12" s="189"/>
      <c r="F12" s="189"/>
      <c r="G12" s="189"/>
      <c r="H12" s="189"/>
      <c r="I12" s="189">
        <v>11917041102</v>
      </c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>
        <v>646028547</v>
      </c>
      <c r="X12" s="190"/>
      <c r="Y12" s="190"/>
      <c r="Z12" s="190"/>
      <c r="AA12" s="285"/>
      <c r="AB12" s="285"/>
      <c r="AC12" s="285"/>
      <c r="AD12" s="285"/>
      <c r="AE12" s="285"/>
      <c r="AF12" s="286">
        <f t="shared" si="0"/>
        <v>12563069649</v>
      </c>
    </row>
    <row r="13" spans="1:32" ht="45.75" customHeight="1" x14ac:dyDescent="0.3">
      <c r="A13" s="284"/>
      <c r="B13" s="93" t="s">
        <v>59</v>
      </c>
      <c r="C13" s="193">
        <v>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90"/>
      <c r="Y13" s="190"/>
      <c r="Z13" s="190"/>
      <c r="AA13" s="285"/>
      <c r="AB13" s="285"/>
      <c r="AC13" s="285"/>
      <c r="AD13" s="285"/>
      <c r="AE13" s="285"/>
      <c r="AF13" s="286">
        <f t="shared" si="0"/>
        <v>0</v>
      </c>
    </row>
    <row r="14" spans="1:32" ht="45.75" customHeight="1" x14ac:dyDescent="0.3">
      <c r="A14" s="284"/>
      <c r="B14" s="92" t="s">
        <v>18</v>
      </c>
      <c r="C14" s="193">
        <v>105000000</v>
      </c>
      <c r="D14" s="189"/>
      <c r="E14" s="189"/>
      <c r="F14" s="189"/>
      <c r="G14" s="189"/>
      <c r="H14" s="189"/>
      <c r="I14" s="189"/>
      <c r="J14" s="189"/>
      <c r="K14" s="190">
        <v>105000000</v>
      </c>
      <c r="L14" s="189"/>
      <c r="M14" s="189"/>
      <c r="N14" s="189"/>
      <c r="O14" s="189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285"/>
      <c r="AB14" s="285"/>
      <c r="AC14" s="285"/>
      <c r="AD14" s="285"/>
      <c r="AE14" s="285"/>
      <c r="AF14" s="286">
        <f t="shared" si="0"/>
        <v>105000000</v>
      </c>
    </row>
    <row r="15" spans="1:32" ht="39.75" customHeight="1" x14ac:dyDescent="0.3">
      <c r="A15" s="284"/>
      <c r="B15" s="92" t="s">
        <v>43</v>
      </c>
      <c r="C15" s="193">
        <v>22495752870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90"/>
      <c r="Q15" s="190"/>
      <c r="R15" s="190"/>
      <c r="S15" s="190"/>
      <c r="T15" s="190">
        <v>22495752870</v>
      </c>
      <c r="U15" s="190"/>
      <c r="V15" s="190"/>
      <c r="W15" s="190"/>
      <c r="X15" s="190"/>
      <c r="Y15" s="190"/>
      <c r="Z15" s="190"/>
      <c r="AA15" s="285"/>
      <c r="AB15" s="285"/>
      <c r="AC15" s="285"/>
      <c r="AD15" s="285"/>
      <c r="AE15" s="285"/>
      <c r="AF15" s="286">
        <f t="shared" si="0"/>
        <v>22495752870</v>
      </c>
    </row>
    <row r="16" spans="1:32" ht="39.75" customHeight="1" x14ac:dyDescent="0.3">
      <c r="A16" s="284" t="s">
        <v>114</v>
      </c>
      <c r="B16" s="91" t="s">
        <v>19</v>
      </c>
      <c r="C16" s="193">
        <v>8068934876</v>
      </c>
      <c r="D16" s="189"/>
      <c r="E16" s="189"/>
      <c r="F16" s="189"/>
      <c r="G16" s="189"/>
      <c r="H16" s="189">
        <v>4892529565</v>
      </c>
      <c r="I16" s="189"/>
      <c r="J16" s="189">
        <v>299954170</v>
      </c>
      <c r="K16" s="189"/>
      <c r="L16" s="189"/>
      <c r="M16" s="189"/>
      <c r="N16" s="189"/>
      <c r="O16" s="189"/>
      <c r="P16" s="190"/>
      <c r="Q16" s="190"/>
      <c r="R16" s="190"/>
      <c r="S16" s="190"/>
      <c r="T16" s="190"/>
      <c r="U16" s="190"/>
      <c r="V16" s="190"/>
      <c r="W16" s="190"/>
      <c r="X16" s="190">
        <f>2876451141</f>
        <v>2876451141</v>
      </c>
      <c r="Y16" s="190"/>
      <c r="Z16" s="190"/>
      <c r="AA16" s="285"/>
      <c r="AB16" s="285"/>
      <c r="AC16" s="285"/>
      <c r="AD16" s="285"/>
      <c r="AE16" s="285"/>
      <c r="AF16" s="286">
        <f t="shared" si="0"/>
        <v>8068934876</v>
      </c>
    </row>
    <row r="17" spans="1:32" ht="39.75" customHeight="1" x14ac:dyDescent="0.3">
      <c r="A17" s="284"/>
      <c r="B17" s="91" t="s">
        <v>20</v>
      </c>
      <c r="C17" s="193">
        <v>0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285"/>
      <c r="AB17" s="285"/>
      <c r="AC17" s="285"/>
      <c r="AD17" s="285"/>
      <c r="AE17" s="285"/>
      <c r="AF17" s="286">
        <f t="shared" si="0"/>
        <v>0</v>
      </c>
    </row>
    <row r="18" spans="1:32" ht="63" customHeight="1" x14ac:dyDescent="0.3">
      <c r="A18" s="284"/>
      <c r="B18" s="91" t="s">
        <v>286</v>
      </c>
      <c r="C18" s="193">
        <v>0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285"/>
      <c r="AB18" s="285"/>
      <c r="AC18" s="285"/>
      <c r="AD18" s="285"/>
      <c r="AE18" s="285"/>
      <c r="AF18" s="286">
        <f t="shared" si="0"/>
        <v>0</v>
      </c>
    </row>
    <row r="19" spans="1:32" ht="39.75" customHeight="1" x14ac:dyDescent="0.3">
      <c r="A19" s="284"/>
      <c r="B19" s="91" t="s">
        <v>287</v>
      </c>
      <c r="C19" s="193">
        <v>0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285"/>
      <c r="AB19" s="285"/>
      <c r="AC19" s="285"/>
      <c r="AD19" s="285"/>
      <c r="AE19" s="285"/>
      <c r="AF19" s="286">
        <f t="shared" si="0"/>
        <v>0</v>
      </c>
    </row>
    <row r="20" spans="1:32" ht="39.75" customHeight="1" x14ac:dyDescent="0.3">
      <c r="A20" s="284"/>
      <c r="B20" s="91" t="s">
        <v>288</v>
      </c>
      <c r="C20" s="193">
        <v>256350696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>
        <v>256350696</v>
      </c>
      <c r="AA20" s="285"/>
      <c r="AB20" s="285"/>
      <c r="AC20" s="285"/>
      <c r="AD20" s="285"/>
      <c r="AE20" s="285"/>
      <c r="AF20" s="286">
        <f t="shared" si="0"/>
        <v>256350696</v>
      </c>
    </row>
    <row r="21" spans="1:32" ht="39.75" customHeight="1" x14ac:dyDescent="0.3">
      <c r="A21" s="284"/>
      <c r="B21" s="91" t="s">
        <v>289</v>
      </c>
      <c r="C21" s="193">
        <v>4016160901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>
        <v>4016160901</v>
      </c>
      <c r="AA21" s="285"/>
      <c r="AB21" s="285"/>
      <c r="AC21" s="285"/>
      <c r="AD21" s="285"/>
      <c r="AE21" s="285"/>
      <c r="AF21" s="286">
        <f t="shared" si="0"/>
        <v>4016160901</v>
      </c>
    </row>
    <row r="22" spans="1:32" ht="39.75" customHeight="1" x14ac:dyDescent="0.3">
      <c r="A22" s="284" t="s">
        <v>94</v>
      </c>
      <c r="B22" s="91" t="s">
        <v>21</v>
      </c>
      <c r="C22" s="193">
        <v>5546000000</v>
      </c>
      <c r="D22" s="189"/>
      <c r="E22" s="189"/>
      <c r="F22" s="189"/>
      <c r="G22" s="189"/>
      <c r="H22" s="189">
        <v>5546000000</v>
      </c>
      <c r="I22" s="189"/>
      <c r="J22" s="189"/>
      <c r="K22" s="189"/>
      <c r="L22" s="189"/>
      <c r="M22" s="189"/>
      <c r="N22" s="189"/>
      <c r="O22" s="189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285"/>
      <c r="AB22" s="285"/>
      <c r="AC22" s="285"/>
      <c r="AD22" s="285"/>
      <c r="AE22" s="285"/>
      <c r="AF22" s="286">
        <f t="shared" si="0"/>
        <v>5546000000</v>
      </c>
    </row>
    <row r="23" spans="1:32" ht="39.75" customHeight="1" x14ac:dyDescent="0.3">
      <c r="A23" s="284"/>
      <c r="B23" s="91" t="s">
        <v>115</v>
      </c>
      <c r="C23" s="193">
        <v>237000000</v>
      </c>
      <c r="D23" s="189"/>
      <c r="E23" s="189"/>
      <c r="F23" s="189"/>
      <c r="G23" s="189"/>
      <c r="H23" s="189"/>
      <c r="I23" s="189">
        <v>112999913</v>
      </c>
      <c r="J23" s="189"/>
      <c r="K23" s="189"/>
      <c r="L23" s="189"/>
      <c r="M23" s="189"/>
      <c r="N23" s="189"/>
      <c r="O23" s="189"/>
      <c r="P23" s="190"/>
      <c r="Q23" s="190"/>
      <c r="R23" s="190"/>
      <c r="S23" s="190"/>
      <c r="T23" s="190"/>
      <c r="U23" s="190"/>
      <c r="V23" s="190"/>
      <c r="W23" s="190"/>
      <c r="X23" s="190"/>
      <c r="Y23" s="190">
        <v>124000084</v>
      </c>
      <c r="Z23" s="190"/>
      <c r="AA23" s="285"/>
      <c r="AB23" s="285"/>
      <c r="AC23" s="285"/>
      <c r="AD23" s="285"/>
      <c r="AE23" s="285"/>
      <c r="AF23" s="286">
        <f t="shared" si="0"/>
        <v>236999997</v>
      </c>
    </row>
    <row r="24" spans="1:32" ht="39.75" customHeight="1" x14ac:dyDescent="0.3">
      <c r="A24" s="284"/>
      <c r="B24" s="91" t="s">
        <v>22</v>
      </c>
      <c r="C24" s="193">
        <v>3692000000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>
        <v>2978360000</v>
      </c>
      <c r="P24" s="190"/>
      <c r="Q24" s="190"/>
      <c r="R24" s="190"/>
      <c r="S24" s="190"/>
      <c r="T24" s="190"/>
      <c r="U24" s="190"/>
      <c r="V24" s="190"/>
      <c r="W24" s="190">
        <v>713640000</v>
      </c>
      <c r="X24" s="190"/>
      <c r="Y24" s="190"/>
      <c r="Z24" s="190"/>
      <c r="AA24" s="285"/>
      <c r="AB24" s="285"/>
      <c r="AC24" s="285"/>
      <c r="AD24" s="285"/>
      <c r="AE24" s="285"/>
      <c r="AF24" s="286">
        <f t="shared" si="0"/>
        <v>3692000000</v>
      </c>
    </row>
    <row r="25" spans="1:32" ht="39.75" customHeight="1" x14ac:dyDescent="0.3">
      <c r="A25" s="284"/>
      <c r="B25" s="94" t="s">
        <v>23</v>
      </c>
      <c r="C25" s="193">
        <v>5925000000</v>
      </c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90"/>
      <c r="Q25" s="190"/>
      <c r="R25" s="190"/>
      <c r="S25" s="190">
        <v>50000000</v>
      </c>
      <c r="T25" s="190">
        <v>3541500000</v>
      </c>
      <c r="U25" s="190"/>
      <c r="V25" s="190"/>
      <c r="W25" s="190"/>
      <c r="X25" s="190">
        <v>2333500000</v>
      </c>
      <c r="Y25" s="190"/>
      <c r="Z25" s="190"/>
      <c r="AA25" s="285"/>
      <c r="AB25" s="285"/>
      <c r="AC25" s="285"/>
      <c r="AD25" s="285"/>
      <c r="AE25" s="285"/>
      <c r="AF25" s="286">
        <f t="shared" si="0"/>
        <v>5925000000</v>
      </c>
    </row>
    <row r="26" spans="1:32" ht="39.75" customHeight="1" x14ac:dyDescent="0.3">
      <c r="A26" s="284"/>
      <c r="B26" s="92" t="s">
        <v>14</v>
      </c>
      <c r="C26" s="193">
        <v>3379308101</v>
      </c>
      <c r="D26" s="189"/>
      <c r="E26" s="191"/>
      <c r="F26" s="189"/>
      <c r="G26" s="189"/>
      <c r="H26" s="189">
        <v>2359308101</v>
      </c>
      <c r="I26" s="189"/>
      <c r="J26" s="189"/>
      <c r="K26" s="189"/>
      <c r="L26" s="189"/>
      <c r="M26" s="189"/>
      <c r="N26" s="189"/>
      <c r="O26" s="189"/>
      <c r="P26" s="190"/>
      <c r="Q26" s="190"/>
      <c r="R26" s="190"/>
      <c r="S26" s="190"/>
      <c r="T26" s="190"/>
      <c r="U26" s="190"/>
      <c r="V26" s="190"/>
      <c r="W26" s="190">
        <v>1020000000</v>
      </c>
      <c r="X26" s="190"/>
      <c r="Y26" s="190"/>
      <c r="Z26" s="190"/>
      <c r="AA26" s="285"/>
      <c r="AB26" s="285"/>
      <c r="AC26" s="285"/>
      <c r="AD26" s="285"/>
      <c r="AE26" s="285"/>
      <c r="AF26" s="286">
        <f t="shared" si="0"/>
        <v>3379308101</v>
      </c>
    </row>
    <row r="27" spans="1:32" ht="39.75" customHeight="1" x14ac:dyDescent="0.3">
      <c r="A27" s="284"/>
      <c r="B27" s="91" t="s">
        <v>15</v>
      </c>
      <c r="C27" s="193">
        <v>1674846033</v>
      </c>
      <c r="D27" s="189"/>
      <c r="E27" s="189"/>
      <c r="F27" s="189"/>
      <c r="G27" s="189"/>
      <c r="H27" s="189"/>
      <c r="I27" s="189">
        <v>1449846033</v>
      </c>
      <c r="J27" s="189"/>
      <c r="K27" s="189"/>
      <c r="L27" s="189"/>
      <c r="M27" s="189"/>
      <c r="N27" s="189"/>
      <c r="O27" s="189"/>
      <c r="P27" s="190"/>
      <c r="Q27" s="190"/>
      <c r="R27" s="190"/>
      <c r="S27" s="190"/>
      <c r="T27" s="190"/>
      <c r="U27" s="190"/>
      <c r="V27" s="190"/>
      <c r="W27" s="190">
        <v>225000000</v>
      </c>
      <c r="X27" s="190"/>
      <c r="Y27" s="190"/>
      <c r="Z27" s="190"/>
      <c r="AA27" s="285"/>
      <c r="AB27" s="285"/>
      <c r="AC27" s="285"/>
      <c r="AD27" s="285"/>
      <c r="AE27" s="285"/>
      <c r="AF27" s="286">
        <f t="shared" si="0"/>
        <v>1674846033</v>
      </c>
    </row>
    <row r="28" spans="1:32" ht="39.75" customHeight="1" x14ac:dyDescent="0.3">
      <c r="A28" s="284"/>
      <c r="B28" s="91" t="s">
        <v>47</v>
      </c>
      <c r="C28" s="193">
        <v>3444409077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90">
        <f>3114000002-105000000</f>
        <v>3009000002</v>
      </c>
      <c r="Q28" s="190"/>
      <c r="R28" s="190"/>
      <c r="S28" s="190"/>
      <c r="T28" s="190"/>
      <c r="U28" s="190"/>
      <c r="V28" s="190"/>
      <c r="W28" s="190">
        <v>330409075</v>
      </c>
      <c r="X28" s="190"/>
      <c r="Y28" s="190">
        <v>105000000</v>
      </c>
      <c r="Z28" s="190"/>
      <c r="AA28" s="285"/>
      <c r="AB28" s="285"/>
      <c r="AC28" s="285"/>
      <c r="AD28" s="285"/>
      <c r="AE28" s="285"/>
      <c r="AF28" s="286">
        <f t="shared" si="0"/>
        <v>3444409077</v>
      </c>
    </row>
    <row r="29" spans="1:32" ht="39.75" customHeight="1" x14ac:dyDescent="0.3">
      <c r="A29" s="284"/>
      <c r="B29" s="95" t="s">
        <v>48</v>
      </c>
      <c r="C29" s="193">
        <v>8744887130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>
        <v>70000000</v>
      </c>
      <c r="P29" s="190"/>
      <c r="Q29" s="190">
        <v>2680000000</v>
      </c>
      <c r="R29" s="190">
        <v>1710000000</v>
      </c>
      <c r="S29" s="190">
        <v>735000000</v>
      </c>
      <c r="T29" s="190">
        <v>3549887130</v>
      </c>
      <c r="U29" s="190"/>
      <c r="V29" s="190"/>
      <c r="W29" s="190"/>
      <c r="X29" s="190"/>
      <c r="Y29" s="190"/>
      <c r="Z29" s="190"/>
      <c r="AA29" s="285"/>
      <c r="AB29" s="285"/>
      <c r="AC29" s="285"/>
      <c r="AD29" s="285"/>
      <c r="AE29" s="285"/>
      <c r="AF29" s="286">
        <f t="shared" si="0"/>
        <v>8744887130</v>
      </c>
    </row>
    <row r="30" spans="1:32" ht="47.25" customHeight="1" x14ac:dyDescent="0.3">
      <c r="A30" s="287" t="s">
        <v>95</v>
      </c>
      <c r="B30" s="96" t="s">
        <v>51</v>
      </c>
      <c r="C30" s="193">
        <v>4907001368</v>
      </c>
      <c r="D30" s="189"/>
      <c r="E30" s="189"/>
      <c r="F30" s="189"/>
      <c r="G30" s="189"/>
      <c r="H30" s="189">
        <v>4407001368</v>
      </c>
      <c r="I30" s="189"/>
      <c r="J30" s="189"/>
      <c r="K30" s="189"/>
      <c r="L30" s="189"/>
      <c r="M30" s="189"/>
      <c r="N30" s="189"/>
      <c r="O30" s="189"/>
      <c r="P30" s="190"/>
      <c r="Q30" s="190"/>
      <c r="R30" s="190"/>
      <c r="S30" s="190"/>
      <c r="T30" s="190"/>
      <c r="U30" s="190"/>
      <c r="V30" s="190"/>
      <c r="W30" s="190"/>
      <c r="X30" s="190"/>
      <c r="Y30" s="190">
        <v>500000000</v>
      </c>
      <c r="Z30" s="190"/>
      <c r="AA30" s="285"/>
      <c r="AB30" s="285"/>
      <c r="AC30" s="285"/>
      <c r="AD30" s="285"/>
      <c r="AE30" s="285"/>
      <c r="AF30" s="286">
        <f t="shared" si="0"/>
        <v>4907001368</v>
      </c>
    </row>
    <row r="31" spans="1:32" ht="39.75" customHeight="1" x14ac:dyDescent="0.3">
      <c r="A31" s="288"/>
      <c r="B31" s="96" t="s">
        <v>52</v>
      </c>
      <c r="C31" s="194">
        <v>10244885596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>
        <v>10244885596</v>
      </c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285"/>
      <c r="AB31" s="285"/>
      <c r="AC31" s="285"/>
      <c r="AD31" s="285"/>
      <c r="AE31" s="285"/>
      <c r="AF31" s="286">
        <f>SUM(D31:AE31)</f>
        <v>10244885596</v>
      </c>
    </row>
    <row r="32" spans="1:32" ht="39.75" customHeight="1" x14ac:dyDescent="0.3">
      <c r="A32" s="288"/>
      <c r="B32" s="96" t="s">
        <v>53</v>
      </c>
      <c r="C32" s="194">
        <v>3834879420</v>
      </c>
      <c r="D32" s="189"/>
      <c r="E32" s="189"/>
      <c r="F32" s="189"/>
      <c r="G32" s="189"/>
      <c r="H32" s="189">
        <v>2353495496</v>
      </c>
      <c r="I32" s="189"/>
      <c r="J32" s="189"/>
      <c r="K32" s="189"/>
      <c r="L32" s="189"/>
      <c r="M32" s="189"/>
      <c r="N32" s="189"/>
      <c r="O32" s="189"/>
      <c r="P32" s="190"/>
      <c r="Q32" s="190"/>
      <c r="R32" s="190"/>
      <c r="S32" s="190"/>
      <c r="T32" s="190"/>
      <c r="U32" s="190"/>
      <c r="V32" s="190"/>
      <c r="W32" s="190"/>
      <c r="X32" s="190"/>
      <c r="Y32" s="190">
        <f>1481383924</f>
        <v>1481383924</v>
      </c>
      <c r="Z32" s="190"/>
      <c r="AA32" s="285"/>
      <c r="AB32" s="285"/>
      <c r="AC32" s="285"/>
      <c r="AD32" s="285"/>
      <c r="AE32" s="285"/>
      <c r="AF32" s="286">
        <f t="shared" si="0"/>
        <v>3834879420</v>
      </c>
    </row>
    <row r="33" spans="1:32" ht="39.75" customHeight="1" x14ac:dyDescent="0.3">
      <c r="A33" s="288"/>
      <c r="B33" s="96" t="s">
        <v>54</v>
      </c>
      <c r="C33" s="194">
        <v>4822263804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90"/>
      <c r="Q33" s="190"/>
      <c r="R33" s="190">
        <v>4822263804</v>
      </c>
      <c r="S33" s="190"/>
      <c r="T33" s="190"/>
      <c r="U33" s="190"/>
      <c r="V33" s="190"/>
      <c r="W33" s="190"/>
      <c r="X33" s="190"/>
      <c r="Y33" s="190"/>
      <c r="Z33" s="190"/>
      <c r="AA33" s="285"/>
      <c r="AB33" s="285"/>
      <c r="AC33" s="285"/>
      <c r="AD33" s="285"/>
      <c r="AE33" s="285"/>
      <c r="AF33" s="286">
        <f t="shared" si="0"/>
        <v>4822263804</v>
      </c>
    </row>
    <row r="34" spans="1:32" ht="39.75" customHeight="1" x14ac:dyDescent="0.3">
      <c r="A34" s="289"/>
      <c r="B34" s="96" t="s">
        <v>57</v>
      </c>
      <c r="C34" s="194">
        <v>1820000000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90"/>
      <c r="Q34" s="190"/>
      <c r="R34" s="190"/>
      <c r="S34" s="190"/>
      <c r="T34" s="190">
        <v>1820000000</v>
      </c>
      <c r="U34" s="190"/>
      <c r="V34" s="190"/>
      <c r="W34" s="190"/>
      <c r="X34" s="190"/>
      <c r="Y34" s="190"/>
      <c r="Z34" s="190"/>
      <c r="AA34" s="285"/>
      <c r="AB34" s="285"/>
      <c r="AC34" s="285"/>
      <c r="AD34" s="285"/>
      <c r="AE34" s="285"/>
      <c r="AF34" s="286">
        <f t="shared" si="0"/>
        <v>1820000000</v>
      </c>
    </row>
    <row r="35" spans="1:32" ht="35.25" customHeight="1" x14ac:dyDescent="0.3">
      <c r="A35" s="290" t="s">
        <v>61</v>
      </c>
      <c r="B35" s="291"/>
      <c r="C35" s="292">
        <f>SUM(C9:C34)</f>
        <v>127322000000</v>
      </c>
      <c r="D35" s="293">
        <f>SUM(D9:D34)</f>
        <v>0</v>
      </c>
      <c r="E35" s="293">
        <f t="shared" ref="E35:AE35" si="1">SUM(E9:E34)</f>
        <v>0</v>
      </c>
      <c r="F35" s="293">
        <f t="shared" si="1"/>
        <v>0</v>
      </c>
      <c r="G35" s="293">
        <f t="shared" si="1"/>
        <v>0</v>
      </c>
      <c r="H35" s="293">
        <f t="shared" si="1"/>
        <v>38648593766</v>
      </c>
      <c r="I35" s="293">
        <f t="shared" si="1"/>
        <v>13712877178</v>
      </c>
      <c r="J35" s="293">
        <f t="shared" si="1"/>
        <v>299954170</v>
      </c>
      <c r="K35" s="293">
        <f t="shared" si="1"/>
        <v>105000000</v>
      </c>
      <c r="L35" s="293">
        <f t="shared" si="1"/>
        <v>0</v>
      </c>
      <c r="M35" s="293">
        <f t="shared" si="1"/>
        <v>0</v>
      </c>
      <c r="N35" s="293">
        <f t="shared" si="1"/>
        <v>0</v>
      </c>
      <c r="O35" s="293">
        <f t="shared" si="1"/>
        <v>13293245596</v>
      </c>
      <c r="P35" s="293">
        <f t="shared" si="1"/>
        <v>3009000002</v>
      </c>
      <c r="Q35" s="293">
        <f t="shared" si="1"/>
        <v>2680000000</v>
      </c>
      <c r="R35" s="293">
        <f t="shared" si="1"/>
        <v>6532263804</v>
      </c>
      <c r="S35" s="293">
        <f t="shared" si="1"/>
        <v>785000000</v>
      </c>
      <c r="T35" s="293">
        <f t="shared" si="1"/>
        <v>32378014715</v>
      </c>
      <c r="U35" s="293">
        <f t="shared" si="1"/>
        <v>0</v>
      </c>
      <c r="V35" s="293">
        <f t="shared" si="1"/>
        <v>0</v>
      </c>
      <c r="W35" s="293">
        <f t="shared" si="1"/>
        <v>3035077622</v>
      </c>
      <c r="X35" s="293">
        <f t="shared" si="1"/>
        <v>5209951141</v>
      </c>
      <c r="Y35" s="293">
        <f t="shared" si="1"/>
        <v>3360510406</v>
      </c>
      <c r="Z35" s="293">
        <f t="shared" si="1"/>
        <v>4272511597</v>
      </c>
      <c r="AA35" s="293">
        <f t="shared" si="1"/>
        <v>0</v>
      </c>
      <c r="AB35" s="293">
        <f t="shared" si="1"/>
        <v>0</v>
      </c>
      <c r="AC35" s="293">
        <f t="shared" si="1"/>
        <v>0</v>
      </c>
      <c r="AD35" s="293">
        <f t="shared" si="1"/>
        <v>0</v>
      </c>
      <c r="AE35" s="293">
        <f t="shared" si="1"/>
        <v>0</v>
      </c>
      <c r="AF35" s="293">
        <f>SUM(AF9:AF34)</f>
        <v>127321999997</v>
      </c>
    </row>
    <row r="36" spans="1:32" ht="14.4" x14ac:dyDescent="0.3">
      <c r="A36" s="270"/>
      <c r="B36" s="270"/>
      <c r="C36" s="269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</row>
    <row r="37" spans="1:32" ht="14.4" x14ac:dyDescent="0.3"/>
    <row r="38" spans="1:32" ht="14.4" x14ac:dyDescent="0.3"/>
    <row r="39" spans="1:32" ht="14.4" x14ac:dyDescent="0.3"/>
    <row r="40" spans="1:32" ht="14.4" x14ac:dyDescent="0.3"/>
    <row r="41" spans="1:32" ht="14.4" x14ac:dyDescent="0.3"/>
    <row r="42" spans="1:32" ht="14.4" x14ac:dyDescent="0.3"/>
    <row r="43" spans="1:32" ht="14.4" x14ac:dyDescent="0.3"/>
    <row r="44" spans="1:32" ht="14.4" x14ac:dyDescent="0.3"/>
    <row r="45" spans="1:32" ht="14.4" x14ac:dyDescent="0.3"/>
    <row r="46" spans="1:32" ht="14.4" x14ac:dyDescent="0.3"/>
    <row r="47" spans="1:32" ht="14.4" x14ac:dyDescent="0.3"/>
    <row r="48" spans="1:32" ht="14.4" x14ac:dyDescent="0.3"/>
    <row r="49" ht="14.4" x14ac:dyDescent="0.3"/>
    <row r="50" ht="15" customHeight="1" x14ac:dyDescent="0.3"/>
    <row r="51" ht="15" customHeight="1" x14ac:dyDescent="0.3"/>
  </sheetData>
  <sheetProtection formatCells="0" insertColumns="0" insertRows="0"/>
  <protectedRanges>
    <protectedRange sqref="X9:AE29 X31:AE34 X30 Z30:AE30" name="Tartomány1_1"/>
    <protectedRange sqref="D9:H13 D16:H16 D22:H24 D26:H28 D30:H33" name="Tartomány1_2"/>
    <protectedRange sqref="V9:W13 V16:W16 V22:W24 V26:W28 V30:W33" name="Tartomány1_1_1"/>
    <protectedRange sqref="I9:S13 Q26 I16:S16 Q27:R28 I22:S24 I26:P28 S26:S28 I30:S33 T32 T23" name="Tartomány1_4_1"/>
    <protectedRange sqref="T9:U13 T16:U16 T22:U22 T27 T30:U31 T33:U33 U32 T26:U26 T28:U28 T24:U24 U23 Y30" name="Tartomány1_1_3_1"/>
    <protectedRange sqref="D14:H15" name="Tartomány1_2_1"/>
    <protectedRange sqref="V14:W15" name="Tartomány1_1_1_1"/>
    <protectedRange sqref="I14:J14 L14:S14 I15:S15" name="Tartomány1_4_2"/>
    <protectedRange sqref="T14:U15" name="Tartomány1_1_3_1_1"/>
    <protectedRange sqref="K14" name="Tartomány1_4_1_1"/>
    <protectedRange sqref="D17:H21" name="Tartomány1_3"/>
    <protectedRange sqref="V17:W19" name="Tartomány1_1_2"/>
    <protectedRange sqref="I17:S21 U20:W21" name="Tartomány1_4_3"/>
    <protectedRange sqref="T17:U19 T20:T21" name="Tartomány1_1_3_2"/>
    <protectedRange sqref="D25:H25" name="Tartomány1_5"/>
    <protectedRange sqref="V25:W25" name="Tartomány1_1_4"/>
    <protectedRange sqref="I25:S25" name="Tartomány1_4_4"/>
    <protectedRange sqref="T25:U25" name="Tartomány1_1_3_3"/>
    <protectedRange sqref="D29:H29" name="Tartomány1_6"/>
    <protectedRange sqref="V29:W29" name="Tartomány1_1_5"/>
    <protectedRange sqref="I29:S29" name="Tartomány1_4_5"/>
    <protectedRange sqref="T29:U29" name="Tartomány1_1_3_4"/>
    <protectedRange sqref="D34:H34" name="Tartomány1_7"/>
    <protectedRange sqref="V34:W34" name="Tartomány1_1_6"/>
    <protectedRange sqref="I34:S34" name="Tartomány1_4_6"/>
    <protectedRange sqref="T34:U34" name="Tartomány1_1_3_5"/>
  </protectedRanges>
  <mergeCells count="16">
    <mergeCell ref="A16:A21"/>
    <mergeCell ref="A22:A29"/>
    <mergeCell ref="A30:A34"/>
    <mergeCell ref="A35:B35"/>
    <mergeCell ref="P7:S7"/>
    <mergeCell ref="T7:W7"/>
    <mergeCell ref="X7:AA7"/>
    <mergeCell ref="AB7:AE7"/>
    <mergeCell ref="AF7:AF8"/>
    <mergeCell ref="A9:A15"/>
    <mergeCell ref="A7:A8"/>
    <mergeCell ref="B7:B8"/>
    <mergeCell ref="C7:C8"/>
    <mergeCell ref="D7:G7"/>
    <mergeCell ref="H7:K7"/>
    <mergeCell ref="L7:O7"/>
  </mergeCells>
  <pageMargins left="0.70866141732283472" right="0.70866141732283472" top="0.74803149606299213" bottom="0.74803149606299213" header="0.31496062992125984" footer="0.31496062992125984"/>
  <pageSetup paperSize="8" scale="42" fitToHeight="7" pageOrder="overThenDown" orientation="landscape" r:id="rId1"/>
  <headerFooter>
    <oddHeader>&amp;A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1. forrasösszesítő</vt:lpstr>
      <vt:lpstr>2. forrásösszesítő-FVS</vt:lpstr>
      <vt:lpstr>3. forrásösszesítő LHH</vt:lpstr>
      <vt:lpstr>4. intézkedések</vt:lpstr>
      <vt:lpstr>5. Településdifferenciálás</vt:lpstr>
      <vt:lpstr>6. Indikátor - vármegye</vt:lpstr>
      <vt:lpstr>7. Indikátor - FVS neve</vt:lpstr>
      <vt:lpstr> 8. ütemezés</vt:lpstr>
      <vt:lpstr>' 8. ütemezés'!Nyomtatási_cím</vt:lpstr>
      <vt:lpstr>'1. forrasösszesítő'!Nyomtatási_cím</vt:lpstr>
      <vt:lpstr>'6. Indikátor - vármegye'!Nyomtatási_cím</vt:lpstr>
      <vt:lpstr>'7. Indikátor - FVS neve'!Nyomtatási_cím</vt:lpstr>
      <vt:lpstr>' 8. ütemezés'!Nyomtatási_terület</vt:lpstr>
      <vt:lpstr>'1. forrasösszesítő'!Nyomtatási_terület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Nagyváradi Tímea</dc:creator>
  <cp:lastModifiedBy>Laura Katalin Somlyai-Ozsváth</cp:lastModifiedBy>
  <cp:lastPrinted>2021-02-15T14:22:33Z</cp:lastPrinted>
  <dcterms:created xsi:type="dcterms:W3CDTF">2021-01-05T10:29:48Z</dcterms:created>
  <dcterms:modified xsi:type="dcterms:W3CDTF">2026-02-11T08:41:30Z</dcterms:modified>
</cp:coreProperties>
</file>